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경영지원\업무추진비 공고\"/>
    </mc:Choice>
  </mc:AlternateContent>
  <bookViews>
    <workbookView xWindow="0" yWindow="0" windowWidth="28800" windowHeight="11475"/>
  </bookViews>
  <sheets>
    <sheet name="4분기" sheetId="5" r:id="rId1"/>
    <sheet name="어린이집" sheetId="6" state="hidden" r:id="rId2"/>
  </sheets>
  <calcPr calcId="162913"/>
</workbook>
</file>

<file path=xl/calcChain.xml><?xml version="1.0" encoding="utf-8"?>
<calcChain xmlns="http://schemas.openxmlformats.org/spreadsheetml/2006/main">
  <c r="H21" i="5" l="1"/>
  <c r="D179" i="6" l="1"/>
  <c r="E176" i="6"/>
  <c r="J170" i="6"/>
  <c r="J179" i="6" s="1"/>
  <c r="D161" i="6"/>
  <c r="J152" i="6"/>
  <c r="J161" i="6" s="1"/>
  <c r="J143" i="6"/>
  <c r="D143" i="6"/>
  <c r="J134" i="6"/>
  <c r="J125" i="6"/>
  <c r="D125" i="6"/>
  <c r="J116" i="6"/>
  <c r="J107" i="6"/>
  <c r="D107" i="6"/>
  <c r="J98" i="6"/>
  <c r="J89" i="6"/>
  <c r="D89" i="6"/>
  <c r="J80" i="6"/>
  <c r="D71" i="6"/>
  <c r="J62" i="6"/>
  <c r="J71" i="6" s="1"/>
  <c r="D53" i="6"/>
  <c r="J44" i="6"/>
  <c r="J53" i="6" s="1"/>
  <c r="D35" i="6"/>
  <c r="J26" i="6"/>
  <c r="J35" i="6" s="1"/>
  <c r="J16" i="6"/>
  <c r="J15" i="6"/>
  <c r="J14" i="6"/>
  <c r="J13" i="6"/>
  <c r="D13" i="6"/>
  <c r="J12" i="6"/>
  <c r="D12" i="6"/>
  <c r="J11" i="6"/>
  <c r="D11" i="6"/>
  <c r="J10" i="6"/>
  <c r="D10" i="6"/>
  <c r="J9" i="6"/>
  <c r="D9" i="6"/>
  <c r="D8" i="6"/>
  <c r="J7" i="6"/>
  <c r="D7" i="6"/>
  <c r="J6" i="6"/>
  <c r="J8" i="6" s="1"/>
  <c r="D6" i="6"/>
  <c r="J5" i="6"/>
  <c r="D5" i="6"/>
  <c r="I170" i="6"/>
  <c r="I80" i="6"/>
  <c r="I103" i="6"/>
  <c r="I81" i="6"/>
  <c r="C25" i="6"/>
  <c r="C64" i="6"/>
  <c r="C61" i="6"/>
  <c r="C117" i="6"/>
  <c r="I96" i="6"/>
  <c r="C119" i="6"/>
  <c r="I62" i="6"/>
  <c r="I100" i="6"/>
  <c r="C80" i="6"/>
  <c r="C174" i="6"/>
  <c r="C63" i="6"/>
  <c r="C99" i="6"/>
  <c r="C121" i="6"/>
  <c r="C83" i="6"/>
  <c r="C27" i="6"/>
  <c r="C45" i="6"/>
  <c r="C96" i="6"/>
  <c r="I48" i="6"/>
  <c r="I114" i="6"/>
  <c r="I158" i="6"/>
  <c r="I120" i="6"/>
  <c r="I64" i="6"/>
  <c r="C113" i="6"/>
  <c r="C60" i="6"/>
  <c r="I133" i="6"/>
  <c r="I149" i="6"/>
  <c r="C172" i="6"/>
  <c r="C152" i="6"/>
  <c r="I150" i="6"/>
  <c r="C65" i="6"/>
  <c r="I49" i="6"/>
  <c r="I119" i="6"/>
  <c r="C85" i="6"/>
  <c r="I176" i="6"/>
  <c r="I178" i="6"/>
  <c r="C151" i="6"/>
  <c r="I113" i="6"/>
  <c r="I131" i="6"/>
  <c r="C136" i="6"/>
  <c r="I63" i="6"/>
  <c r="I47" i="6"/>
  <c r="C133" i="6"/>
  <c r="C118" i="6"/>
  <c r="I156" i="6"/>
  <c r="C173" i="6"/>
  <c r="I28" i="6"/>
  <c r="I31" i="6"/>
  <c r="I50" i="6"/>
  <c r="I173" i="6"/>
  <c r="C134" i="6"/>
  <c r="I68" i="6"/>
  <c r="I159" i="6"/>
  <c r="I85" i="6"/>
  <c r="I78" i="6"/>
  <c r="C153" i="6"/>
  <c r="I42" i="6"/>
  <c r="I174" i="6"/>
  <c r="C139" i="6"/>
  <c r="I136" i="6"/>
  <c r="I153" i="6"/>
  <c r="C170" i="6"/>
  <c r="I122" i="6"/>
  <c r="C102" i="6"/>
  <c r="I118" i="6"/>
  <c r="C62" i="6"/>
  <c r="I83" i="6"/>
  <c r="C29" i="6"/>
  <c r="C67" i="6"/>
  <c r="I84" i="6"/>
  <c r="C175" i="6"/>
  <c r="C169" i="6"/>
  <c r="I115" i="6"/>
  <c r="I101" i="6"/>
  <c r="C23" i="6"/>
  <c r="I67" i="6"/>
  <c r="I177" i="6"/>
  <c r="I69" i="6"/>
  <c r="I70" i="6"/>
  <c r="I23" i="6"/>
  <c r="C167" i="6"/>
  <c r="C95" i="6"/>
  <c r="I43" i="6"/>
  <c r="C171" i="6"/>
  <c r="C131" i="6"/>
  <c r="I154" i="6"/>
  <c r="C115" i="6"/>
  <c r="I33" i="6"/>
  <c r="I25" i="6"/>
  <c r="I34" i="6"/>
  <c r="I121" i="6"/>
  <c r="C30" i="6"/>
  <c r="I134" i="6"/>
  <c r="I116" i="6"/>
  <c r="I137" i="6"/>
  <c r="I151" i="6"/>
  <c r="I97" i="6"/>
  <c r="C31" i="6"/>
  <c r="I95" i="6"/>
  <c r="I66" i="6"/>
  <c r="I138" i="6"/>
  <c r="I171" i="6"/>
  <c r="C77" i="6"/>
  <c r="C78" i="6"/>
  <c r="I65" i="6"/>
  <c r="I46" i="6"/>
  <c r="I175" i="6"/>
  <c r="C155" i="6"/>
  <c r="C42" i="6"/>
  <c r="C41" i="6"/>
  <c r="I87" i="6"/>
  <c r="I41" i="6"/>
  <c r="I104" i="6"/>
  <c r="I59" i="6"/>
  <c r="I77" i="6"/>
  <c r="I124" i="6"/>
  <c r="I32" i="6"/>
  <c r="I51" i="6"/>
  <c r="C101" i="6"/>
  <c r="C168" i="6"/>
  <c r="C84" i="6"/>
  <c r="I172" i="6"/>
  <c r="C48" i="6"/>
  <c r="I140" i="6"/>
  <c r="C98" i="6"/>
  <c r="C47" i="6"/>
  <c r="C137" i="6"/>
  <c r="C59" i="6"/>
  <c r="C100" i="6"/>
  <c r="C157" i="6"/>
  <c r="C132" i="6"/>
  <c r="I168" i="6"/>
  <c r="I52" i="6"/>
  <c r="I123" i="6"/>
  <c r="I106" i="6"/>
  <c r="C103" i="6"/>
  <c r="I82" i="6"/>
  <c r="I169" i="6"/>
  <c r="C46" i="6"/>
  <c r="C150" i="6"/>
  <c r="C97" i="6"/>
  <c r="I155" i="6"/>
  <c r="I139" i="6"/>
  <c r="I98" i="6"/>
  <c r="C149" i="6"/>
  <c r="C44" i="6"/>
  <c r="C116" i="6"/>
  <c r="I105" i="6"/>
  <c r="I142" i="6"/>
  <c r="C114" i="6"/>
  <c r="I157" i="6"/>
  <c r="I117" i="6"/>
  <c r="I29" i="6"/>
  <c r="I167" i="6"/>
  <c r="I27" i="6"/>
  <c r="I88" i="6"/>
  <c r="C43" i="6"/>
  <c r="C66" i="6"/>
  <c r="I152" i="6"/>
  <c r="C138" i="6"/>
  <c r="I30" i="6"/>
  <c r="I79" i="6"/>
  <c r="C24" i="6"/>
  <c r="I44" i="6"/>
  <c r="I160" i="6"/>
  <c r="C82" i="6"/>
  <c r="C135" i="6"/>
  <c r="I60" i="6"/>
  <c r="C154" i="6"/>
  <c r="I86" i="6"/>
  <c r="I24" i="6"/>
  <c r="I135" i="6"/>
  <c r="I99" i="6"/>
  <c r="C26" i="6"/>
  <c r="I45" i="6"/>
  <c r="I141" i="6"/>
  <c r="C79" i="6"/>
  <c r="C120" i="6"/>
  <c r="I61" i="6"/>
  <c r="C28" i="6"/>
  <c r="I132" i="6"/>
  <c r="C156" i="6"/>
  <c r="I102" i="6"/>
  <c r="C81" i="6"/>
  <c r="C49" i="6"/>
  <c r="K34" i="6" l="1"/>
  <c r="I16" i="6"/>
  <c r="K16" i="6" s="1"/>
  <c r="K159" i="6"/>
  <c r="K167" i="6"/>
  <c r="I89" i="6"/>
  <c r="E61" i="6"/>
  <c r="K103" i="6"/>
  <c r="E83" i="6"/>
  <c r="K124" i="6"/>
  <c r="K59" i="6"/>
  <c r="I13" i="6"/>
  <c r="K13" i="6" s="1"/>
  <c r="K31" i="6"/>
  <c r="E138" i="6"/>
  <c r="K61" i="6"/>
  <c r="K104" i="6"/>
  <c r="E42" i="6"/>
  <c r="E151" i="6"/>
  <c r="K171" i="6"/>
  <c r="I5" i="6"/>
  <c r="K5" i="6" s="1"/>
  <c r="I26" i="6"/>
  <c r="I35" i="6" s="1"/>
  <c r="K23" i="6"/>
  <c r="I53" i="6"/>
  <c r="E135" i="6"/>
  <c r="E172" i="6"/>
  <c r="K68" i="6"/>
  <c r="E153" i="6"/>
  <c r="C6" i="6"/>
  <c r="E6" i="6" s="1"/>
  <c r="E24" i="6"/>
  <c r="K136" i="6"/>
  <c r="K153" i="6"/>
  <c r="I7" i="6"/>
  <c r="K7" i="6" s="1"/>
  <c r="K25" i="6"/>
  <c r="E97" i="6"/>
  <c r="K117" i="6"/>
  <c r="K156" i="6"/>
  <c r="K97" i="6"/>
  <c r="K139" i="6"/>
  <c r="K174" i="6"/>
  <c r="E46" i="6"/>
  <c r="K81" i="6"/>
  <c r="E98" i="6"/>
  <c r="K115" i="6"/>
  <c r="K160" i="6"/>
  <c r="K46" i="6"/>
  <c r="E82" i="6"/>
  <c r="K132" i="6"/>
  <c r="E47" i="6"/>
  <c r="E101" i="6"/>
  <c r="E117" i="6"/>
  <c r="E133" i="6"/>
  <c r="E150" i="6"/>
  <c r="C8" i="6"/>
  <c r="E8" i="6" s="1"/>
  <c r="E26" i="6"/>
  <c r="I71" i="6"/>
  <c r="K85" i="6"/>
  <c r="E120" i="6"/>
  <c r="E169" i="6"/>
  <c r="K49" i="6"/>
  <c r="K177" i="6"/>
  <c r="K41" i="6"/>
  <c r="K50" i="6"/>
  <c r="K86" i="6"/>
  <c r="K99" i="6"/>
  <c r="K121" i="6"/>
  <c r="I179" i="6"/>
  <c r="K178" i="6"/>
  <c r="I10" i="6"/>
  <c r="K10" i="6" s="1"/>
  <c r="K28" i="6"/>
  <c r="K51" i="6"/>
  <c r="E65" i="6"/>
  <c r="E79" i="6"/>
  <c r="E156" i="6"/>
  <c r="I11" i="6"/>
  <c r="K11" i="6" s="1"/>
  <c r="K29" i="6"/>
  <c r="K65" i="6"/>
  <c r="C89" i="6"/>
  <c r="E77" i="6"/>
  <c r="K102" i="6"/>
  <c r="E113" i="6"/>
  <c r="C125" i="6"/>
  <c r="E118" i="6"/>
  <c r="K133" i="6"/>
  <c r="E154" i="6"/>
  <c r="E175" i="6"/>
  <c r="C12" i="6"/>
  <c r="E12" i="6" s="1"/>
  <c r="E30" i="6"/>
  <c r="E62" i="6"/>
  <c r="E67" i="6"/>
  <c r="K77" i="6"/>
  <c r="K82" i="6"/>
  <c r="K114" i="6"/>
  <c r="K118" i="6"/>
  <c r="E139" i="6"/>
  <c r="K155" i="6"/>
  <c r="K176" i="6"/>
  <c r="K47" i="6"/>
  <c r="K84" i="6"/>
  <c r="C107" i="6"/>
  <c r="E95" i="6"/>
  <c r="K120" i="6"/>
  <c r="K142" i="6"/>
  <c r="K151" i="6"/>
  <c r="E168" i="6"/>
  <c r="E27" i="6"/>
  <c r="C9" i="6"/>
  <c r="E9" i="6" s="1"/>
  <c r="K33" i="6"/>
  <c r="I15" i="6"/>
  <c r="K15" i="6" s="1"/>
  <c r="K43" i="6"/>
  <c r="C71" i="6"/>
  <c r="E59" i="6"/>
  <c r="E64" i="6"/>
  <c r="K69" i="6"/>
  <c r="E80" i="6"/>
  <c r="E116" i="6"/>
  <c r="E121" i="6"/>
  <c r="E132" i="6"/>
  <c r="E136" i="6"/>
  <c r="E157" i="6"/>
  <c r="K168" i="6"/>
  <c r="K173" i="6"/>
  <c r="C35" i="6"/>
  <c r="E23" i="6"/>
  <c r="C5" i="6"/>
  <c r="E49" i="6"/>
  <c r="E85" i="6"/>
  <c r="K96" i="6"/>
  <c r="K100" i="6"/>
  <c r="E29" i="6"/>
  <c r="C11" i="6"/>
  <c r="E11" i="6" s="1"/>
  <c r="I14" i="6"/>
  <c r="K14" i="6" s="1"/>
  <c r="K32" i="6"/>
  <c r="C53" i="6"/>
  <c r="E41" i="6"/>
  <c r="E44" i="6"/>
  <c r="K64" i="6"/>
  <c r="K67" i="6"/>
  <c r="K79" i="6"/>
  <c r="E100" i="6"/>
  <c r="E103" i="6"/>
  <c r="E115" i="6"/>
  <c r="K135" i="6"/>
  <c r="K138" i="6"/>
  <c r="K150" i="6"/>
  <c r="E171" i="6"/>
  <c r="E174" i="6"/>
  <c r="K24" i="6"/>
  <c r="I6" i="6"/>
  <c r="K6" i="6" s="1"/>
  <c r="E45" i="6"/>
  <c r="E48" i="6"/>
  <c r="K52" i="6"/>
  <c r="E60" i="6"/>
  <c r="K83" i="6"/>
  <c r="K87" i="6"/>
  <c r="K95" i="6"/>
  <c r="I107" i="6"/>
  <c r="E119" i="6"/>
  <c r="K122" i="6"/>
  <c r="E131" i="6"/>
  <c r="C143" i="6"/>
  <c r="E134" i="6"/>
  <c r="K154" i="6"/>
  <c r="K157" i="6"/>
  <c r="K169" i="6"/>
  <c r="K27" i="6"/>
  <c r="I9" i="6"/>
  <c r="K9" i="6" s="1"/>
  <c r="K30" i="6"/>
  <c r="I12" i="6"/>
  <c r="K12" i="6" s="1"/>
  <c r="K42" i="6"/>
  <c r="E63" i="6"/>
  <c r="E66" i="6"/>
  <c r="K70" i="6"/>
  <c r="E78" i="6"/>
  <c r="K101" i="6"/>
  <c r="K105" i="6"/>
  <c r="K113" i="6"/>
  <c r="I125" i="6"/>
  <c r="E137" i="6"/>
  <c r="K140" i="6"/>
  <c r="E149" i="6"/>
  <c r="C161" i="6"/>
  <c r="E152" i="6"/>
  <c r="K172" i="6"/>
  <c r="K175" i="6"/>
  <c r="E25" i="6"/>
  <c r="C7" i="6"/>
  <c r="E7" i="6" s="1"/>
  <c r="K45" i="6"/>
  <c r="K48" i="6"/>
  <c r="K60" i="6"/>
  <c r="E81" i="6"/>
  <c r="E84" i="6"/>
  <c r="K88" i="6"/>
  <c r="E96" i="6"/>
  <c r="K119" i="6"/>
  <c r="K123" i="6"/>
  <c r="K131" i="6"/>
  <c r="I143" i="6"/>
  <c r="E155" i="6"/>
  <c r="K158" i="6"/>
  <c r="E167" i="6"/>
  <c r="C179" i="6"/>
  <c r="E170" i="6"/>
  <c r="C10" i="6"/>
  <c r="E10" i="6" s="1"/>
  <c r="E28" i="6"/>
  <c r="C13" i="6"/>
  <c r="E13" i="6" s="1"/>
  <c r="E31" i="6"/>
  <c r="E43" i="6"/>
  <c r="K63" i="6"/>
  <c r="K66" i="6"/>
  <c r="K78" i="6"/>
  <c r="E99" i="6"/>
  <c r="E102" i="6"/>
  <c r="K106" i="6"/>
  <c r="E114" i="6"/>
  <c r="K137" i="6"/>
  <c r="K141" i="6"/>
  <c r="K149" i="6"/>
  <c r="I161" i="6"/>
  <c r="E173" i="6"/>
  <c r="J17" i="6"/>
  <c r="D17" i="6"/>
  <c r="K44" i="6" l="1"/>
  <c r="K53" i="6" s="1"/>
  <c r="E143" i="6"/>
  <c r="K98" i="6"/>
  <c r="K107" i="6" s="1"/>
  <c r="K62" i="6"/>
  <c r="K71" i="6" s="1"/>
  <c r="K170" i="6"/>
  <c r="K179" i="6" s="1"/>
  <c r="K134" i="6"/>
  <c r="K143" i="6" s="1"/>
  <c r="I8" i="6"/>
  <c r="I17" i="6" s="1"/>
  <c r="E179" i="6"/>
  <c r="E161" i="6"/>
  <c r="K116" i="6"/>
  <c r="K125" i="6" s="1"/>
  <c r="E35" i="6"/>
  <c r="E71" i="6"/>
  <c r="E107" i="6"/>
  <c r="E89" i="6"/>
  <c r="C17" i="6"/>
  <c r="E5" i="6"/>
  <c r="E17" i="6" s="1"/>
  <c r="K152" i="6"/>
  <c r="K161" i="6" s="1"/>
  <c r="K80" i="6"/>
  <c r="K89" i="6" s="1"/>
  <c r="K8" i="6"/>
  <c r="K17" i="6" s="1"/>
  <c r="E53" i="6"/>
  <c r="K26" i="6"/>
  <c r="K35" i="6" s="1"/>
  <c r="E125" i="6"/>
</calcChain>
</file>

<file path=xl/sharedStrings.xml><?xml version="1.0" encoding="utf-8"?>
<sst xmlns="http://schemas.openxmlformats.org/spreadsheetml/2006/main" count="425" uniqueCount="85">
  <si>
    <t>(단위 : 원)</t>
  </si>
  <si>
    <t>합계</t>
  </si>
  <si>
    <t>세입과목</t>
  </si>
  <si>
    <t>세입액</t>
  </si>
  <si>
    <t>증감
(B-A)</t>
  </si>
  <si>
    <t>세출과목</t>
  </si>
  <si>
    <t>세출액</t>
  </si>
  <si>
    <t>2024년 본예산
(A)</t>
  </si>
  <si>
    <t>2024년 1차추경
(B)</t>
  </si>
  <si>
    <t>인건비</t>
  </si>
  <si>
    <t>업무추진비</t>
  </si>
  <si>
    <t>운영비</t>
  </si>
  <si>
    <t>재산조성비</t>
  </si>
  <si>
    <t>전입금</t>
  </si>
  <si>
    <t>잡지출</t>
  </si>
  <si>
    <t>과년도수입</t>
  </si>
  <si>
    <t>소계</t>
  </si>
  <si>
    <t>잡수입</t>
  </si>
  <si>
    <t>과년도지출</t>
  </si>
  <si>
    <t>예비비</t>
  </si>
  <si>
    <t>2024년도 본예산 어린이집 총괄 집계표</t>
  </si>
  <si>
    <t>보육료</t>
  </si>
  <si>
    <t>수익자부담수입</t>
  </si>
  <si>
    <t>보조금 및 지원금</t>
  </si>
  <si>
    <t>기부금</t>
  </si>
  <si>
    <t>보육활동비</t>
  </si>
  <si>
    <t>적립금</t>
  </si>
  <si>
    <t>수익자부담경비</t>
  </si>
  <si>
    <t>상환반환금</t>
  </si>
  <si>
    <t>전년도이월액</t>
  </si>
  <si>
    <t>2024년도 네이처힐3단지어린이집 예산 집계표</t>
  </si>
  <si>
    <t>2024년도 새싹어린이집 예산 집계표</t>
  </si>
  <si>
    <t>2024년도 서초어린이집 예산 집계표</t>
  </si>
  <si>
    <t>2024년도 수청어린이집 예산 집계표</t>
  </si>
  <si>
    <t>2024년도 아이뜰어린이집 예산 집계표</t>
  </si>
  <si>
    <t>2024년도 어울림어린이집 예산 집계표</t>
  </si>
  <si>
    <t>2024년도 우면어린이집 예산 집계표</t>
  </si>
  <si>
    <t>2023년
3차추경(A)</t>
  </si>
  <si>
    <t>2024년
본예산(B)</t>
  </si>
  <si>
    <t>2024년도 청솔어린이집 예산 집계표</t>
  </si>
  <si>
    <t>2024년도 파인8어린이집 예산 집계표</t>
  </si>
  <si>
    <t>일자</t>
    <phoneticPr fontId="11" type="noConversion"/>
  </si>
  <si>
    <t>내역</t>
    <phoneticPr fontId="11" type="noConversion"/>
  </si>
  <si>
    <t>인원(명)</t>
    <phoneticPr fontId="11" type="noConversion"/>
  </si>
  <si>
    <t>금액</t>
    <phoneticPr fontId="11" type="noConversion"/>
  </si>
  <si>
    <r>
      <rPr>
        <b/>
        <sz val="10"/>
        <rFont val="돋움"/>
        <family val="3"/>
        <charset val="129"/>
      </rPr>
      <t>지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출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금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액</t>
    </r>
    <phoneticPr fontId="11" type="noConversion"/>
  </si>
  <si>
    <t>거래처</t>
    <phoneticPr fontId="11" type="noConversion"/>
  </si>
  <si>
    <t>바잉마트</t>
    <phoneticPr fontId="11" type="noConversion"/>
  </si>
  <si>
    <t>합계</t>
    <phoneticPr fontId="11" type="noConversion"/>
  </si>
  <si>
    <t>2024.10.08.</t>
    <phoneticPr fontId="11" type="noConversion"/>
  </si>
  <si>
    <t>2024년 식자재 납품업체 선정 면접심사 회의수당 지급</t>
    <phoneticPr fontId="11" type="noConversion"/>
  </si>
  <si>
    <t>2024년 제2차 정기 운영위원회 회의수당 지급</t>
    <phoneticPr fontId="11" type="noConversion"/>
  </si>
  <si>
    <t>2024.10.26.</t>
    <phoneticPr fontId="11" type="noConversion"/>
  </si>
  <si>
    <t>양평칼국수</t>
    <phoneticPr fontId="11" type="noConversion"/>
  </si>
  <si>
    <t>프랭크버거</t>
    <phoneticPr fontId="11" type="noConversion"/>
  </si>
  <si>
    <t>재수탁 자료 준비에 따른 격려비 지출</t>
    <phoneticPr fontId="11" type="noConversion"/>
  </si>
  <si>
    <t>2024.11.02.</t>
    <phoneticPr fontId="11" type="noConversion"/>
  </si>
  <si>
    <t>형제해장</t>
    <phoneticPr fontId="11" type="noConversion"/>
  </si>
  <si>
    <t>2024.11.08.</t>
    <phoneticPr fontId="11" type="noConversion"/>
  </si>
  <si>
    <t>홍천떡갈비</t>
    <phoneticPr fontId="11" type="noConversion"/>
  </si>
  <si>
    <t>신입직원 환영 및 임직원 노고 치하를 위한 격려 식대비</t>
    <phoneticPr fontId="11" type="noConversion"/>
  </si>
  <si>
    <t>2024.11.20.</t>
    <phoneticPr fontId="11" type="noConversion"/>
  </si>
  <si>
    <t>그린플라워</t>
    <phoneticPr fontId="11" type="noConversion"/>
  </si>
  <si>
    <t>2024.11.28.</t>
    <phoneticPr fontId="11" type="noConversion"/>
  </si>
  <si>
    <t>홍천 내고향마트</t>
    <phoneticPr fontId="11" type="noConversion"/>
  </si>
  <si>
    <t>홍천군 지도점검 진행에 따른 다과비 지출</t>
    <phoneticPr fontId="11" type="noConversion"/>
  </si>
  <si>
    <t>2024.12.03.</t>
    <phoneticPr fontId="11" type="noConversion"/>
  </si>
  <si>
    <t>11번가</t>
    <phoneticPr fontId="11" type="noConversion"/>
  </si>
  <si>
    <t>기관 이용자 및 방문자 접대용 커피원두 구입</t>
    <phoneticPr fontId="11" type="noConversion"/>
  </si>
  <si>
    <t>2024.12.12.</t>
    <phoneticPr fontId="11" type="noConversion"/>
  </si>
  <si>
    <t>2024년 4차 정기 운영위원회 식대비 지출</t>
    <phoneticPr fontId="11" type="noConversion"/>
  </si>
  <si>
    <t>파스타오늘</t>
    <phoneticPr fontId="11" type="noConversion"/>
  </si>
  <si>
    <t>2024.12.13.</t>
  </si>
  <si>
    <t>2024년 5차 정기 운영위원회 회의비 지출</t>
    <phoneticPr fontId="11" type="noConversion"/>
  </si>
  <si>
    <t>기관이용자 및 방문자 접대용(유자차 외 4품목) 구입</t>
    <phoneticPr fontId="11" type="noConversion"/>
  </si>
  <si>
    <t>2024.11.20.</t>
    <phoneticPr fontId="11" type="noConversion"/>
  </si>
  <si>
    <t>그린플라워</t>
    <phoneticPr fontId="11" type="noConversion"/>
  </si>
  <si>
    <t>꽃신</t>
    <phoneticPr fontId="11" type="noConversion"/>
  </si>
  <si>
    <t>2024.12.27.</t>
    <phoneticPr fontId="11" type="noConversion"/>
  </si>
  <si>
    <r>
      <t>2024</t>
    </r>
    <r>
      <rPr>
        <b/>
        <sz val="16"/>
        <rFont val="돋움"/>
        <family val="3"/>
        <charset val="129"/>
      </rPr>
      <t>년도</t>
    </r>
    <r>
      <rPr>
        <b/>
        <sz val="16"/>
        <rFont val="Noto Sans KR"/>
      </rPr>
      <t xml:space="preserve"> 4</t>
    </r>
    <r>
      <rPr>
        <b/>
        <sz val="16"/>
        <rFont val="돋움"/>
        <family val="3"/>
        <charset val="129"/>
      </rPr>
      <t>분기</t>
    </r>
    <r>
      <rPr>
        <b/>
        <sz val="16"/>
        <rFont val="Noto Sans KR"/>
      </rPr>
      <t xml:space="preserve"> </t>
    </r>
    <r>
      <rPr>
        <b/>
        <sz val="16"/>
        <rFont val="돋움"/>
        <family val="3"/>
        <charset val="129"/>
      </rPr>
      <t>업무추진비</t>
    </r>
    <r>
      <rPr>
        <b/>
        <sz val="16"/>
        <rFont val="Noto Sans KR"/>
      </rPr>
      <t xml:space="preserve"> </t>
    </r>
    <r>
      <rPr>
        <b/>
        <sz val="16"/>
        <rFont val="돋움"/>
        <family val="3"/>
        <charset val="129"/>
      </rPr>
      <t>사용내역</t>
    </r>
    <phoneticPr fontId="11" type="noConversion"/>
  </si>
  <si>
    <t>-</t>
    <phoneticPr fontId="11" type="noConversion"/>
  </si>
  <si>
    <t>유관기관 30주년 축하 동양난 구입</t>
    <phoneticPr fontId="11" type="noConversion"/>
  </si>
  <si>
    <t>후원사찰  창립 60주년 기념 표창 축하 꽃다발 구입</t>
    <phoneticPr fontId="11" type="noConversion"/>
  </si>
  <si>
    <t>유관기관 일일찻집 행사 참석 다과비 지출</t>
    <phoneticPr fontId="11" type="noConversion"/>
  </si>
  <si>
    <t>유관기관 현판 제막식 축하 동양난 구입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</si>
</sst>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"/>
  </numFmts>
  <fonts count="16">
    <font>
      <sz val="10"/>
      <color rgb="FF000000"/>
      <name val="Arial"/>
    </font>
    <font>
      <b/>
      <sz val="10"/>
      <color rgb="FF000000"/>
      <name val="Noto Sans KR"/>
    </font>
    <font>
      <sz val="10"/>
      <name val="Arial"/>
      <family val="2"/>
    </font>
    <font>
      <b/>
      <sz val="10"/>
      <name val="Noto Sans KR"/>
    </font>
    <font>
      <sz val="10"/>
      <name val="Noto Sans KR"/>
    </font>
    <font>
      <sz val="9"/>
      <name val="Noto Sans KR"/>
    </font>
    <font>
      <sz val="10"/>
      <name val="Noto Sans KR"/>
    </font>
    <font>
      <b/>
      <sz val="20"/>
      <name val="Noto Sans KR"/>
    </font>
    <font>
      <b/>
      <sz val="12"/>
      <name val="Noto Sans KR"/>
    </font>
    <font>
      <b/>
      <sz val="12"/>
      <color rgb="FF000000"/>
      <name val="Noto Sans KR"/>
    </font>
    <font>
      <b/>
      <sz val="10"/>
      <name val="Noto Sans KR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16"/>
      <name val="Noto Sans KR"/>
    </font>
    <font>
      <b/>
      <sz val="16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3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37" fontId="6" fillId="0" borderId="0" xfId="0" applyNumberFormat="1" applyFont="1"/>
    <xf numFmtId="176" fontId="3" fillId="2" borderId="1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176" fontId="8" fillId="3" borderId="0" xfId="0" applyNumberFormat="1" applyFont="1" applyFill="1" applyAlignment="1">
      <alignment horizontal="center" vertical="center"/>
    </xf>
    <xf numFmtId="176" fontId="9" fillId="3" borderId="0" xfId="0" applyNumberFormat="1" applyFont="1" applyFill="1" applyAlignment="1">
      <alignment horizontal="right" vertical="center"/>
    </xf>
    <xf numFmtId="37" fontId="9" fillId="3" borderId="0" xfId="0" applyNumberFormat="1" applyFont="1" applyFill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horizontal="right" vertical="center"/>
    </xf>
    <xf numFmtId="37" fontId="6" fillId="3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37" fontId="10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37" fontId="10" fillId="3" borderId="1" xfId="0" applyNumberFormat="1" applyFont="1" applyFill="1" applyBorder="1" applyAlignment="1">
      <alignment horizontal="right" vertical="center"/>
    </xf>
    <xf numFmtId="37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176" fontId="6" fillId="3" borderId="8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6" fillId="0" borderId="8" xfId="0" applyNumberFormat="1" applyFont="1" applyBorder="1" applyAlignment="1"/>
    <xf numFmtId="37" fontId="6" fillId="0" borderId="1" xfId="0" applyNumberFormat="1" applyFont="1" applyBorder="1" applyAlignment="1"/>
    <xf numFmtId="37" fontId="1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center"/>
    </xf>
    <xf numFmtId="176" fontId="6" fillId="3" borderId="0" xfId="0" applyNumberFormat="1" applyFont="1" applyFill="1" applyAlignment="1">
      <alignment horizontal="center"/>
    </xf>
    <xf numFmtId="0" fontId="6" fillId="0" borderId="1" xfId="0" applyFont="1" applyBorder="1" applyAlignment="1"/>
    <xf numFmtId="176" fontId="4" fillId="0" borderId="1" xfId="0" applyNumberFormat="1" applyFont="1" applyBorder="1" applyAlignment="1">
      <alignment horizontal="right"/>
    </xf>
    <xf numFmtId="176" fontId="4" fillId="0" borderId="0" xfId="0" applyNumberFormat="1" applyFont="1"/>
    <xf numFmtId="176" fontId="12" fillId="2" borderId="1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vertical="center"/>
    </xf>
    <xf numFmtId="37" fontId="13" fillId="0" borderId="12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center" vertical="center"/>
    </xf>
    <xf numFmtId="0" fontId="0" fillId="0" borderId="0" xfId="0" applyFont="1" applyAlignment="1"/>
    <xf numFmtId="37" fontId="13" fillId="4" borderId="1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/>
    <xf numFmtId="176" fontId="13" fillId="3" borderId="15" xfId="0" applyNumberFormat="1" applyFont="1" applyFill="1" applyBorder="1" applyAlignment="1">
      <alignment horizontal="center" vertical="center"/>
    </xf>
    <xf numFmtId="176" fontId="13" fillId="3" borderId="16" xfId="0" applyNumberFormat="1" applyFont="1" applyFill="1" applyBorder="1" applyAlignment="1">
      <alignment horizontal="center" vertical="center"/>
    </xf>
    <xf numFmtId="176" fontId="13" fillId="3" borderId="17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 wrapText="1"/>
    </xf>
    <xf numFmtId="176" fontId="13" fillId="3" borderId="5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 wrapText="1"/>
    </xf>
    <xf numFmtId="176" fontId="13" fillId="3" borderId="2" xfId="0" applyNumberFormat="1" applyFont="1" applyFill="1" applyBorder="1" applyAlignment="1">
      <alignment horizontal="center" vertical="center"/>
    </xf>
    <xf numFmtId="176" fontId="13" fillId="3" borderId="5" xfId="0" applyNumberFormat="1" applyFont="1" applyFill="1" applyBorder="1" applyAlignment="1">
      <alignment horizontal="center" vertical="center"/>
    </xf>
    <xf numFmtId="176" fontId="13" fillId="3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2" fillId="3" borderId="14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8" xfId="0" applyFont="1" applyBorder="1"/>
    <xf numFmtId="176" fontId="10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/>
    <xf numFmtId="176" fontId="6" fillId="3" borderId="2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0" xfId="0" applyFont="1" applyAlignment="1"/>
    <xf numFmtId="176" fontId="3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6" xfId="0" applyFont="1" applyBorder="1"/>
    <xf numFmtId="0" fontId="2" fillId="0" borderId="7" xfId="0" applyFont="1" applyBorder="1"/>
    <xf numFmtId="176" fontId="3" fillId="2" borderId="5" xfId="0" applyNumberFormat="1" applyFont="1" applyFill="1" applyBorder="1" applyAlignment="1">
      <alignment horizontal="center" vertical="center"/>
    </xf>
    <xf numFmtId="37" fontId="3" fillId="2" borderId="10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4" xfId="0" applyFont="1" applyBorder="1"/>
    <xf numFmtId="176" fontId="10" fillId="2" borderId="5" xfId="0" applyNumberFormat="1" applyFont="1" applyFill="1" applyBorder="1" applyAlignment="1">
      <alignment horizontal="center"/>
    </xf>
    <xf numFmtId="176" fontId="10" fillId="2" borderId="10" xfId="0" applyNumberFormat="1" applyFont="1" applyFill="1" applyBorder="1" applyAlignment="1">
      <alignment horizontal="center"/>
    </xf>
    <xf numFmtId="176" fontId="3" fillId="3" borderId="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  <pageSetUpPr fitToPage="1"/>
  </sheetPr>
  <dimension ref="A1:H22"/>
  <sheetViews>
    <sheetView showGridLines="0" tabSelected="1" workbookViewId="0">
      <selection sqref="A1:H1"/>
    </sheetView>
  </sheetViews>
  <sheetFormatPr defaultColWidth="12.5703125" defaultRowHeight="15.75" customHeight="1"/>
  <cols>
    <col min="1" max="1" width="14.5703125" customWidth="1"/>
    <col min="2" max="2" width="19.42578125" customWidth="1"/>
    <col min="3" max="3" width="4.42578125" customWidth="1"/>
    <col min="4" max="4" width="7" customWidth="1"/>
    <col min="5" max="5" width="9.42578125" customWidth="1"/>
    <col min="6" max="6" width="33.140625" customWidth="1"/>
    <col min="7" max="8" width="15" customWidth="1"/>
  </cols>
  <sheetData>
    <row r="1" spans="1:8" ht="29.25" customHeight="1">
      <c r="A1" s="56" t="s">
        <v>79</v>
      </c>
      <c r="B1" s="57"/>
      <c r="C1" s="57"/>
      <c r="D1" s="57"/>
      <c r="E1" s="57"/>
      <c r="F1" s="57"/>
      <c r="G1" s="57"/>
      <c r="H1" s="57"/>
    </row>
    <row r="2" spans="1:8" ht="12.75">
      <c r="A2" s="2"/>
      <c r="B2" s="1"/>
      <c r="C2" s="2"/>
      <c r="D2" s="2"/>
      <c r="E2" s="2"/>
      <c r="F2" s="2"/>
      <c r="G2" s="2"/>
      <c r="H2" s="10" t="s">
        <v>0</v>
      </c>
    </row>
    <row r="3" spans="1:8" ht="24.95" customHeight="1">
      <c r="A3" s="61" t="s">
        <v>45</v>
      </c>
      <c r="B3" s="61"/>
      <c r="C3" s="61"/>
      <c r="D3" s="61"/>
      <c r="E3" s="61"/>
      <c r="F3" s="61"/>
      <c r="G3" s="61"/>
      <c r="H3" s="62"/>
    </row>
    <row r="4" spans="1:8" ht="24.95" customHeight="1">
      <c r="A4" s="39" t="s">
        <v>41</v>
      </c>
      <c r="B4" s="39" t="s">
        <v>46</v>
      </c>
      <c r="C4" s="63" t="s">
        <v>42</v>
      </c>
      <c r="D4" s="64"/>
      <c r="E4" s="64"/>
      <c r="F4" s="65"/>
      <c r="G4" s="39" t="s">
        <v>43</v>
      </c>
      <c r="H4" s="39" t="s">
        <v>44</v>
      </c>
    </row>
    <row r="5" spans="1:8" s="43" customFormat="1" ht="24.95" customHeight="1">
      <c r="A5" s="42" t="s">
        <v>49</v>
      </c>
      <c r="B5" s="41" t="s">
        <v>80</v>
      </c>
      <c r="C5" s="50" t="s">
        <v>50</v>
      </c>
      <c r="D5" s="54"/>
      <c r="E5" s="54"/>
      <c r="F5" s="55"/>
      <c r="G5" s="42">
        <v>1</v>
      </c>
      <c r="H5" s="44">
        <v>70000</v>
      </c>
    </row>
    <row r="6" spans="1:8" s="43" customFormat="1" ht="24.95" customHeight="1">
      <c r="A6" s="42" t="s">
        <v>49</v>
      </c>
      <c r="B6" s="41" t="s">
        <v>80</v>
      </c>
      <c r="C6" s="53" t="s">
        <v>51</v>
      </c>
      <c r="D6" s="54"/>
      <c r="E6" s="54"/>
      <c r="F6" s="55"/>
      <c r="G6" s="42">
        <v>4</v>
      </c>
      <c r="H6" s="44">
        <v>280000</v>
      </c>
    </row>
    <row r="7" spans="1:8" s="43" customFormat="1" ht="24.95" customHeight="1">
      <c r="A7" s="42" t="s">
        <v>52</v>
      </c>
      <c r="B7" s="41" t="s">
        <v>53</v>
      </c>
      <c r="C7" s="53" t="s">
        <v>55</v>
      </c>
      <c r="D7" s="54"/>
      <c r="E7" s="54"/>
      <c r="F7" s="55"/>
      <c r="G7" s="42">
        <v>8</v>
      </c>
      <c r="H7" s="44">
        <v>88000</v>
      </c>
    </row>
    <row r="8" spans="1:8" s="43" customFormat="1" ht="24.95" customHeight="1">
      <c r="A8" s="42" t="s">
        <v>52</v>
      </c>
      <c r="B8" s="41" t="s">
        <v>54</v>
      </c>
      <c r="C8" s="53" t="s">
        <v>55</v>
      </c>
      <c r="D8" s="54"/>
      <c r="E8" s="54"/>
      <c r="F8" s="55"/>
      <c r="G8" s="42">
        <v>5</v>
      </c>
      <c r="H8" s="44">
        <v>64400</v>
      </c>
    </row>
    <row r="9" spans="1:8" s="43" customFormat="1" ht="24.95" customHeight="1">
      <c r="A9" s="42" t="s">
        <v>56</v>
      </c>
      <c r="B9" s="41" t="s">
        <v>57</v>
      </c>
      <c r="C9" s="53" t="s">
        <v>55</v>
      </c>
      <c r="D9" s="54"/>
      <c r="E9" s="54"/>
      <c r="F9" s="55"/>
      <c r="G9" s="42">
        <v>2</v>
      </c>
      <c r="H9" s="44">
        <v>23000</v>
      </c>
    </row>
    <row r="10" spans="1:8" s="43" customFormat="1" ht="24.95" customHeight="1">
      <c r="A10" s="42" t="s">
        <v>58</v>
      </c>
      <c r="B10" s="41" t="s">
        <v>59</v>
      </c>
      <c r="C10" s="53" t="s">
        <v>60</v>
      </c>
      <c r="D10" s="54"/>
      <c r="E10" s="54"/>
      <c r="F10" s="55"/>
      <c r="G10" s="42">
        <v>23</v>
      </c>
      <c r="H10" s="44">
        <v>276000</v>
      </c>
    </row>
    <row r="11" spans="1:8" s="43" customFormat="1" ht="24.95" customHeight="1">
      <c r="A11" s="42" t="s">
        <v>61</v>
      </c>
      <c r="B11" s="41" t="s">
        <v>62</v>
      </c>
      <c r="C11" s="50" t="s">
        <v>82</v>
      </c>
      <c r="D11" s="54"/>
      <c r="E11" s="54"/>
      <c r="F11" s="55"/>
      <c r="G11" s="42" t="s">
        <v>80</v>
      </c>
      <c r="H11" s="44">
        <v>50000</v>
      </c>
    </row>
    <row r="12" spans="1:8" s="45" customFormat="1" ht="24.95" customHeight="1">
      <c r="A12" s="42" t="s">
        <v>75</v>
      </c>
      <c r="B12" s="41" t="s">
        <v>76</v>
      </c>
      <c r="C12" s="50" t="s">
        <v>81</v>
      </c>
      <c r="D12" s="51"/>
      <c r="E12" s="51"/>
      <c r="F12" s="52"/>
      <c r="G12" s="42" t="s">
        <v>80</v>
      </c>
      <c r="H12" s="44">
        <v>60000</v>
      </c>
    </row>
    <row r="13" spans="1:8" s="46" customFormat="1" ht="24.95" customHeight="1">
      <c r="A13" s="42" t="s">
        <v>61</v>
      </c>
      <c r="B13" s="41" t="s">
        <v>62</v>
      </c>
      <c r="C13" s="50" t="s">
        <v>81</v>
      </c>
      <c r="D13" s="51"/>
      <c r="E13" s="51"/>
      <c r="F13" s="52"/>
      <c r="G13" s="42" t="s">
        <v>80</v>
      </c>
      <c r="H13" s="44">
        <v>60000</v>
      </c>
    </row>
    <row r="14" spans="1:8" s="43" customFormat="1" ht="24.95" customHeight="1">
      <c r="A14" s="42" t="s">
        <v>63</v>
      </c>
      <c r="B14" s="41" t="s">
        <v>64</v>
      </c>
      <c r="C14" s="53" t="s">
        <v>65</v>
      </c>
      <c r="D14" s="54"/>
      <c r="E14" s="54"/>
      <c r="F14" s="55"/>
      <c r="G14" s="42" t="s">
        <v>80</v>
      </c>
      <c r="H14" s="44">
        <v>16780</v>
      </c>
    </row>
    <row r="15" spans="1:8" s="45" customFormat="1" ht="24.95" customHeight="1">
      <c r="A15" s="42" t="s">
        <v>66</v>
      </c>
      <c r="B15" s="41" t="s">
        <v>77</v>
      </c>
      <c r="C15" s="53" t="s">
        <v>83</v>
      </c>
      <c r="D15" s="54"/>
      <c r="E15" s="54"/>
      <c r="F15" s="55"/>
      <c r="G15" s="42" t="s">
        <v>80</v>
      </c>
      <c r="H15" s="44">
        <v>42000</v>
      </c>
    </row>
    <row r="16" spans="1:8" s="43" customFormat="1" ht="24.95" customHeight="1">
      <c r="A16" s="42" t="s">
        <v>66</v>
      </c>
      <c r="B16" s="41" t="s">
        <v>67</v>
      </c>
      <c r="C16" s="53" t="s">
        <v>68</v>
      </c>
      <c r="D16" s="54"/>
      <c r="E16" s="54"/>
      <c r="F16" s="55"/>
      <c r="G16" s="42" t="s">
        <v>80</v>
      </c>
      <c r="H16" s="44">
        <v>58050</v>
      </c>
    </row>
    <row r="17" spans="1:8" ht="24.95" customHeight="1">
      <c r="A17" s="42" t="s">
        <v>69</v>
      </c>
      <c r="B17" s="41" t="s">
        <v>71</v>
      </c>
      <c r="C17" s="47" t="s">
        <v>70</v>
      </c>
      <c r="D17" s="48"/>
      <c r="E17" s="48"/>
      <c r="F17" s="49"/>
      <c r="G17" s="42">
        <v>8</v>
      </c>
      <c r="H17" s="44">
        <v>120000</v>
      </c>
    </row>
    <row r="18" spans="1:8" s="45" customFormat="1" ht="24.95" customHeight="1">
      <c r="A18" s="42" t="s">
        <v>72</v>
      </c>
      <c r="B18" s="41" t="s">
        <v>80</v>
      </c>
      <c r="C18" s="47" t="s">
        <v>73</v>
      </c>
      <c r="D18" s="48"/>
      <c r="E18" s="48"/>
      <c r="F18" s="49"/>
      <c r="G18" s="42">
        <v>5</v>
      </c>
      <c r="H18" s="44">
        <v>350000</v>
      </c>
    </row>
    <row r="19" spans="1:8" s="45" customFormat="1" ht="24.95" customHeight="1">
      <c r="A19" s="42" t="s">
        <v>66</v>
      </c>
      <c r="B19" s="41" t="s">
        <v>47</v>
      </c>
      <c r="C19" s="47" t="s">
        <v>74</v>
      </c>
      <c r="D19" s="48"/>
      <c r="E19" s="48"/>
      <c r="F19" s="49"/>
      <c r="G19" s="42" t="s">
        <v>80</v>
      </c>
      <c r="H19" s="44">
        <v>114220</v>
      </c>
    </row>
    <row r="20" spans="1:8" s="45" customFormat="1" ht="24.95" customHeight="1">
      <c r="A20" s="42" t="s">
        <v>78</v>
      </c>
      <c r="B20" s="41" t="s">
        <v>62</v>
      </c>
      <c r="C20" s="47" t="s">
        <v>84</v>
      </c>
      <c r="D20" s="48"/>
      <c r="E20" s="48"/>
      <c r="F20" s="49"/>
      <c r="G20" s="42" t="s">
        <v>80</v>
      </c>
      <c r="H20" s="44">
        <v>38000</v>
      </c>
    </row>
    <row r="21" spans="1:8" ht="24.95" customHeight="1">
      <c r="A21" s="58" t="s">
        <v>48</v>
      </c>
      <c r="B21" s="59"/>
      <c r="C21" s="59"/>
      <c r="D21" s="59"/>
      <c r="E21" s="59"/>
      <c r="F21" s="59"/>
      <c r="G21" s="59"/>
      <c r="H21" s="40">
        <f>SUM(H5:H20)</f>
        <v>1710450</v>
      </c>
    </row>
    <row r="22" spans="1:8" ht="15.75" customHeight="1">
      <c r="A22" s="60"/>
      <c r="B22" s="60"/>
      <c r="C22" s="60"/>
      <c r="D22" s="60"/>
      <c r="E22" s="60"/>
      <c r="F22" s="60"/>
      <c r="G22" s="60"/>
      <c r="H22" s="60"/>
    </row>
  </sheetData>
  <mergeCells count="21">
    <mergeCell ref="A21:G21"/>
    <mergeCell ref="A22:H22"/>
    <mergeCell ref="A3:H3"/>
    <mergeCell ref="C4:F4"/>
    <mergeCell ref="C17:F17"/>
    <mergeCell ref="C5:F5"/>
    <mergeCell ref="C6:F6"/>
    <mergeCell ref="C7:F7"/>
    <mergeCell ref="C8:F8"/>
    <mergeCell ref="C9:F9"/>
    <mergeCell ref="C10:F10"/>
    <mergeCell ref="C11:F11"/>
    <mergeCell ref="C14:F14"/>
    <mergeCell ref="C16:F16"/>
    <mergeCell ref="C19:F19"/>
    <mergeCell ref="C13:F13"/>
    <mergeCell ref="C18:F18"/>
    <mergeCell ref="C12:F12"/>
    <mergeCell ref="C15:F15"/>
    <mergeCell ref="C20:F20"/>
    <mergeCell ref="A1:H1"/>
  </mergeCells>
  <phoneticPr fontId="11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  <pageSetUpPr fitToPage="1"/>
  </sheetPr>
  <dimension ref="A1:K179"/>
  <sheetViews>
    <sheetView showGridLines="0" workbookViewId="0"/>
  </sheetViews>
  <sheetFormatPr defaultColWidth="12.5703125" defaultRowHeight="15.75" customHeight="1"/>
  <cols>
    <col min="1" max="1" width="3.85546875" customWidth="1"/>
    <col min="2" max="2" width="14.7109375" customWidth="1"/>
    <col min="3" max="4" width="14.5703125" customWidth="1"/>
    <col min="5" max="5" width="14.28515625" customWidth="1"/>
    <col min="6" max="6" width="4.42578125" customWidth="1"/>
    <col min="7" max="7" width="7" customWidth="1"/>
    <col min="8" max="9" width="14.5703125" customWidth="1"/>
    <col min="10" max="11" width="15" customWidth="1"/>
  </cols>
  <sheetData>
    <row r="1" spans="1:11" ht="29.25" customHeight="1">
      <c r="A1" s="57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2.75">
      <c r="A2" s="2"/>
      <c r="B2" s="2"/>
      <c r="C2" s="2"/>
      <c r="D2" s="2"/>
      <c r="E2" s="1"/>
      <c r="F2" s="2"/>
      <c r="G2" s="2"/>
      <c r="H2" s="2"/>
      <c r="I2" s="2"/>
      <c r="J2" s="2"/>
      <c r="K2" s="10" t="s">
        <v>0</v>
      </c>
    </row>
    <row r="3" spans="1:11" ht="12.75">
      <c r="A3" s="74" t="s">
        <v>2</v>
      </c>
      <c r="B3" s="75"/>
      <c r="C3" s="78" t="s">
        <v>3</v>
      </c>
      <c r="D3" s="70"/>
      <c r="E3" s="79" t="s">
        <v>4</v>
      </c>
      <c r="F3" s="80" t="s">
        <v>5</v>
      </c>
      <c r="G3" s="81"/>
      <c r="H3" s="75"/>
      <c r="I3" s="83" t="s">
        <v>6</v>
      </c>
      <c r="J3" s="70"/>
      <c r="K3" s="84" t="s">
        <v>4</v>
      </c>
    </row>
    <row r="4" spans="1:11" ht="12.75">
      <c r="A4" s="76"/>
      <c r="B4" s="77"/>
      <c r="C4" s="5" t="s">
        <v>7</v>
      </c>
      <c r="D4" s="5" t="s">
        <v>8</v>
      </c>
      <c r="E4" s="77"/>
      <c r="F4" s="76"/>
      <c r="G4" s="82"/>
      <c r="H4" s="77"/>
      <c r="I4" s="5" t="s">
        <v>7</v>
      </c>
      <c r="J4" s="5" t="s">
        <v>8</v>
      </c>
      <c r="K4" s="77"/>
    </row>
    <row r="5" spans="1:11" ht="12.75">
      <c r="A5" s="14">
        <v>1</v>
      </c>
      <c r="B5" s="15" t="s">
        <v>21</v>
      </c>
      <c r="C5" s="21">
        <f t="shared" ref="C5:D5" ca="1" si="0">C23+C59+C41+C77+C95+C113+C131+C149+C167</f>
        <v>2890747000</v>
      </c>
      <c r="D5" s="21">
        <f t="shared" si="0"/>
        <v>0</v>
      </c>
      <c r="E5" s="17">
        <f t="shared" ref="E5:E13" ca="1" si="1">D5-C5</f>
        <v>-2890747000</v>
      </c>
      <c r="F5" s="66">
        <v>1</v>
      </c>
      <c r="G5" s="66" t="s">
        <v>11</v>
      </c>
      <c r="H5" s="14" t="s">
        <v>9</v>
      </c>
      <c r="I5" s="21">
        <f t="shared" ref="I5:J5" ca="1" si="2">I23+I59+I41+I77+I95+I113+I131+I149+I167</f>
        <v>5029601302</v>
      </c>
      <c r="J5" s="21">
        <f t="shared" si="2"/>
        <v>0</v>
      </c>
      <c r="K5" s="18">
        <f t="shared" ref="K5:K7" ca="1" si="3">J5-I5</f>
        <v>-5029601302</v>
      </c>
    </row>
    <row r="6" spans="1:11" ht="12.75">
      <c r="A6" s="14">
        <v>2</v>
      </c>
      <c r="B6" s="23" t="s">
        <v>22</v>
      </c>
      <c r="C6" s="21">
        <f t="shared" ref="C6:D6" ca="1" si="4">C24+C60+C42+C78+C96+C114+C132+C150+C168</f>
        <v>639429100</v>
      </c>
      <c r="D6" s="21">
        <f t="shared" si="4"/>
        <v>0</v>
      </c>
      <c r="E6" s="17">
        <f t="shared" ca="1" si="1"/>
        <v>-639429100</v>
      </c>
      <c r="F6" s="67"/>
      <c r="G6" s="67"/>
      <c r="H6" s="14" t="s">
        <v>10</v>
      </c>
      <c r="I6" s="21">
        <f t="shared" ref="I6:J6" ca="1" si="5">I24+I60+I42+I78+I96+I114+I132+I150+I168</f>
        <v>86083227</v>
      </c>
      <c r="J6" s="21">
        <f t="shared" si="5"/>
        <v>0</v>
      </c>
      <c r="K6" s="18">
        <f t="shared" ca="1" si="3"/>
        <v>-86083227</v>
      </c>
    </row>
    <row r="7" spans="1:11" ht="12.75">
      <c r="A7" s="14">
        <v>3</v>
      </c>
      <c r="B7" s="23" t="s">
        <v>23</v>
      </c>
      <c r="C7" s="21">
        <f t="shared" ref="C7:D7" ca="1" si="6">C25+C61+C43+C79+C97+C115+C133+C151+C169</f>
        <v>4029361884</v>
      </c>
      <c r="D7" s="21">
        <f t="shared" si="6"/>
        <v>0</v>
      </c>
      <c r="E7" s="17">
        <f t="shared" ca="1" si="1"/>
        <v>-4029361884</v>
      </c>
      <c r="F7" s="67"/>
      <c r="G7" s="68"/>
      <c r="H7" s="14" t="s">
        <v>11</v>
      </c>
      <c r="I7" s="21">
        <f t="shared" ref="I7:J7" ca="1" si="7">I25+I61+I43+I79+I97+I115+I133+I151+I169</f>
        <v>590787674</v>
      </c>
      <c r="J7" s="21">
        <f t="shared" si="7"/>
        <v>0</v>
      </c>
      <c r="K7" s="18">
        <f t="shared" ca="1" si="3"/>
        <v>-590787674</v>
      </c>
    </row>
    <row r="8" spans="1:11" ht="12.75">
      <c r="A8" s="14">
        <v>4</v>
      </c>
      <c r="B8" s="15" t="s">
        <v>13</v>
      </c>
      <c r="C8" s="21">
        <f t="shared" ref="C8:D8" ca="1" si="8">C26+C62+C44+C80+C98+C116+C134+C152+C170</f>
        <v>40016500</v>
      </c>
      <c r="D8" s="21">
        <f t="shared" si="8"/>
        <v>0</v>
      </c>
      <c r="E8" s="17">
        <f t="shared" ca="1" si="1"/>
        <v>-40016500</v>
      </c>
      <c r="F8" s="68"/>
      <c r="G8" s="69" t="s">
        <v>16</v>
      </c>
      <c r="H8" s="70"/>
      <c r="I8" s="24">
        <f t="shared" ref="I8:K8" ca="1" si="9">SUM(I5:I7)</f>
        <v>5706472203</v>
      </c>
      <c r="J8" s="24">
        <f t="shared" si="9"/>
        <v>0</v>
      </c>
      <c r="K8" s="25">
        <f t="shared" ca="1" si="9"/>
        <v>-5706472203</v>
      </c>
    </row>
    <row r="9" spans="1:11" ht="12.75">
      <c r="A9" s="14">
        <v>5</v>
      </c>
      <c r="B9" s="15" t="s">
        <v>24</v>
      </c>
      <c r="C9" s="21">
        <f t="shared" ref="C9:D9" ca="1" si="10">C27+C63+C45+C81+C99+C117+C135+C153+C171</f>
        <v>200000</v>
      </c>
      <c r="D9" s="21">
        <f t="shared" si="10"/>
        <v>0</v>
      </c>
      <c r="E9" s="17">
        <f t="shared" ca="1" si="1"/>
        <v>-200000</v>
      </c>
      <c r="F9" s="14">
        <v>2</v>
      </c>
      <c r="G9" s="71" t="s">
        <v>25</v>
      </c>
      <c r="H9" s="70"/>
      <c r="I9" s="21">
        <f t="shared" ref="I9:J9" ca="1" si="11">I27+I63+I45+I81+I99+I117+I135+I153+I171</f>
        <v>1077398034</v>
      </c>
      <c r="J9" s="21">
        <f t="shared" si="11"/>
        <v>0</v>
      </c>
      <c r="K9" s="18">
        <f t="shared" ref="K9:K16" ca="1" si="12">J9-I9</f>
        <v>-1077398034</v>
      </c>
    </row>
    <row r="10" spans="1:11" ht="12.75">
      <c r="A10" s="14">
        <v>6</v>
      </c>
      <c r="B10" s="15" t="s">
        <v>26</v>
      </c>
      <c r="C10" s="21">
        <f t="shared" ref="C10:D10" ca="1" si="13">C28+C64+C46+C82+C100+C118+C136+C154+C172</f>
        <v>10484988</v>
      </c>
      <c r="D10" s="21">
        <f t="shared" si="13"/>
        <v>0</v>
      </c>
      <c r="E10" s="17">
        <f t="shared" ca="1" si="1"/>
        <v>-10484988</v>
      </c>
      <c r="F10" s="14">
        <v>3</v>
      </c>
      <c r="G10" s="71" t="s">
        <v>27</v>
      </c>
      <c r="H10" s="70"/>
      <c r="I10" s="21">
        <f t="shared" ref="I10:J10" ca="1" si="14">I28+I64+I46+I82+I100+I118+I136+I154+I172</f>
        <v>644056400</v>
      </c>
      <c r="J10" s="21">
        <f t="shared" si="14"/>
        <v>0</v>
      </c>
      <c r="K10" s="18">
        <f t="shared" ca="1" si="12"/>
        <v>-644056400</v>
      </c>
    </row>
    <row r="11" spans="1:11" ht="12.75">
      <c r="A11" s="14">
        <v>7</v>
      </c>
      <c r="B11" s="15" t="s">
        <v>15</v>
      </c>
      <c r="C11" s="21">
        <f t="shared" ref="C11:D11" ca="1" si="15">C29+C65+C47+C83+C101+C119+C137+C155+C173</f>
        <v>27537332</v>
      </c>
      <c r="D11" s="21">
        <f t="shared" si="15"/>
        <v>0</v>
      </c>
      <c r="E11" s="17">
        <f t="shared" ca="1" si="1"/>
        <v>-27537332</v>
      </c>
      <c r="F11" s="14">
        <v>4</v>
      </c>
      <c r="G11" s="71" t="s">
        <v>26</v>
      </c>
      <c r="H11" s="70"/>
      <c r="I11" s="21">
        <f t="shared" ref="I11:J11" ca="1" si="16">I29+I65+I47+I83+I101+I119+I137+I155+I173</f>
        <v>0</v>
      </c>
      <c r="J11" s="21">
        <f t="shared" si="16"/>
        <v>0</v>
      </c>
      <c r="K11" s="17">
        <f t="shared" ca="1" si="12"/>
        <v>0</v>
      </c>
    </row>
    <row r="12" spans="1:11" ht="12.75">
      <c r="A12" s="14">
        <v>8</v>
      </c>
      <c r="B12" s="15" t="s">
        <v>17</v>
      </c>
      <c r="C12" s="21">
        <f t="shared" ref="C12:D12" ca="1" si="17">C30+C66+C48+C84+C102+C120+C138+C156+C174</f>
        <v>53658618</v>
      </c>
      <c r="D12" s="21">
        <f t="shared" si="17"/>
        <v>0</v>
      </c>
      <c r="E12" s="17">
        <f t="shared" ca="1" si="1"/>
        <v>-53658618</v>
      </c>
      <c r="F12" s="14">
        <v>5</v>
      </c>
      <c r="G12" s="71" t="s">
        <v>28</v>
      </c>
      <c r="H12" s="70"/>
      <c r="I12" s="21">
        <f t="shared" ref="I12:J12" ca="1" si="18">I30+I66+I48+I84+I102+I120+I138+I156+I174</f>
        <v>8237796</v>
      </c>
      <c r="J12" s="21">
        <f t="shared" si="18"/>
        <v>0</v>
      </c>
      <c r="K12" s="17">
        <f t="shared" ca="1" si="12"/>
        <v>-8237796</v>
      </c>
    </row>
    <row r="13" spans="1:11" ht="12.75">
      <c r="A13" s="14">
        <v>9</v>
      </c>
      <c r="B13" s="15" t="s">
        <v>29</v>
      </c>
      <c r="C13" s="21">
        <f t="shared" ref="C13:D13" ca="1" si="19">C31+C67+C49+C85+C103+C121+C139+C157+C175</f>
        <v>125525544</v>
      </c>
      <c r="D13" s="21">
        <f t="shared" si="19"/>
        <v>0</v>
      </c>
      <c r="E13" s="17">
        <f t="shared" ca="1" si="1"/>
        <v>-125525544</v>
      </c>
      <c r="F13" s="14">
        <v>6</v>
      </c>
      <c r="G13" s="71" t="s">
        <v>12</v>
      </c>
      <c r="H13" s="70"/>
      <c r="I13" s="21">
        <f t="shared" ref="I13:J13" ca="1" si="20">I31+I67+I49+I85+I103+I121+I139+I157+I175</f>
        <v>291982115</v>
      </c>
      <c r="J13" s="21">
        <f t="shared" si="20"/>
        <v>0</v>
      </c>
      <c r="K13" s="17">
        <f t="shared" ca="1" si="12"/>
        <v>-291982115</v>
      </c>
    </row>
    <row r="14" spans="1:11" ht="12.75">
      <c r="A14" s="71"/>
      <c r="B14" s="70"/>
      <c r="C14" s="21"/>
      <c r="D14" s="16"/>
      <c r="E14" s="17"/>
      <c r="F14" s="14">
        <v>7</v>
      </c>
      <c r="G14" s="71" t="s">
        <v>18</v>
      </c>
      <c r="H14" s="70"/>
      <c r="I14" s="21">
        <f t="shared" ref="I14:J14" ca="1" si="21">I32+I68+I50+I86+I104+I122+I140+I158+I176</f>
        <v>22807490</v>
      </c>
      <c r="J14" s="21">
        <f t="shared" si="21"/>
        <v>0</v>
      </c>
      <c r="K14" s="17">
        <f t="shared" ca="1" si="12"/>
        <v>-22807490</v>
      </c>
    </row>
    <row r="15" spans="1:11" ht="12.75">
      <c r="A15" s="85"/>
      <c r="B15" s="70"/>
      <c r="C15" s="16"/>
      <c r="D15" s="16"/>
      <c r="E15" s="26"/>
      <c r="F15" s="14">
        <v>8</v>
      </c>
      <c r="G15" s="71" t="s">
        <v>14</v>
      </c>
      <c r="H15" s="70"/>
      <c r="I15" s="21">
        <f t="shared" ref="I15:J15" ca="1" si="22">I33+I69+I51+I87+I105+I123+I141+I159+I177</f>
        <v>29130162</v>
      </c>
      <c r="J15" s="21">
        <f t="shared" si="22"/>
        <v>0</v>
      </c>
      <c r="K15" s="17">
        <f t="shared" ca="1" si="12"/>
        <v>-29130162</v>
      </c>
    </row>
    <row r="16" spans="1:11" ht="12.75">
      <c r="A16" s="85"/>
      <c r="B16" s="70"/>
      <c r="C16" s="16"/>
      <c r="D16" s="16"/>
      <c r="E16" s="26"/>
      <c r="F16" s="14">
        <v>9</v>
      </c>
      <c r="G16" s="71" t="s">
        <v>19</v>
      </c>
      <c r="H16" s="70"/>
      <c r="I16" s="21">
        <f t="shared" ref="I16:J16" ca="1" si="23">I34+I70+I52+I88+I106+I124+I142+I160+I178</f>
        <v>36876766</v>
      </c>
      <c r="J16" s="21">
        <f t="shared" si="23"/>
        <v>0</v>
      </c>
      <c r="K16" s="17">
        <f t="shared" ca="1" si="12"/>
        <v>-36876766</v>
      </c>
    </row>
    <row r="17" spans="1:11" ht="12.75">
      <c r="A17" s="69" t="s">
        <v>1</v>
      </c>
      <c r="B17" s="70"/>
      <c r="C17" s="19">
        <f t="shared" ref="C17:E17" ca="1" si="24">SUM(C5:C13)</f>
        <v>7816960966</v>
      </c>
      <c r="D17" s="19">
        <f t="shared" si="24"/>
        <v>0</v>
      </c>
      <c r="E17" s="20">
        <f t="shared" ca="1" si="24"/>
        <v>-7816960966</v>
      </c>
      <c r="F17" s="69" t="s">
        <v>1</v>
      </c>
      <c r="G17" s="72"/>
      <c r="H17" s="70"/>
      <c r="I17" s="19">
        <f t="shared" ref="I17:K17" ca="1" si="25">SUM(I8:I16)</f>
        <v>7816960966</v>
      </c>
      <c r="J17" s="19">
        <f t="shared" si="25"/>
        <v>0</v>
      </c>
      <c r="K17" s="20">
        <f t="shared" ca="1" si="25"/>
        <v>-7816960966</v>
      </c>
    </row>
    <row r="18" spans="1:11">
      <c r="A18" s="7"/>
      <c r="B18" s="7"/>
      <c r="C18" s="8"/>
      <c r="D18" s="8"/>
      <c r="E18" s="9"/>
      <c r="F18" s="7"/>
      <c r="G18" s="7"/>
      <c r="H18" s="8"/>
      <c r="I18" s="8"/>
      <c r="J18" s="8"/>
      <c r="K18" s="9"/>
    </row>
    <row r="19" spans="1:11" ht="26.25">
      <c r="A19" s="57" t="s">
        <v>30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1" ht="12.75">
      <c r="A20" s="2"/>
      <c r="B20" s="2"/>
      <c r="C20" s="2"/>
      <c r="D20" s="2"/>
      <c r="E20" s="1"/>
      <c r="F20" s="2"/>
      <c r="G20" s="2"/>
      <c r="H20" s="2"/>
      <c r="I20" s="2"/>
      <c r="J20" s="2"/>
      <c r="K20" s="10" t="s">
        <v>0</v>
      </c>
    </row>
    <row r="21" spans="1:11" ht="12.75">
      <c r="A21" s="74" t="s">
        <v>2</v>
      </c>
      <c r="B21" s="75"/>
      <c r="C21" s="78" t="s">
        <v>3</v>
      </c>
      <c r="D21" s="70"/>
      <c r="E21" s="79" t="s">
        <v>4</v>
      </c>
      <c r="F21" s="80" t="s">
        <v>5</v>
      </c>
      <c r="G21" s="81"/>
      <c r="H21" s="75"/>
      <c r="I21" s="83" t="s">
        <v>6</v>
      </c>
      <c r="J21" s="70"/>
      <c r="K21" s="84" t="s">
        <v>4</v>
      </c>
    </row>
    <row r="22" spans="1:11" ht="12.75">
      <c r="A22" s="76"/>
      <c r="B22" s="77"/>
      <c r="C22" s="5" t="s">
        <v>7</v>
      </c>
      <c r="D22" s="5" t="s">
        <v>8</v>
      </c>
      <c r="E22" s="77"/>
      <c r="F22" s="76"/>
      <c r="G22" s="82"/>
      <c r="H22" s="77"/>
      <c r="I22" s="5" t="s">
        <v>7</v>
      </c>
      <c r="J22" s="5" t="s">
        <v>8</v>
      </c>
      <c r="K22" s="77"/>
    </row>
    <row r="23" spans="1:11" ht="12.75">
      <c r="A23" s="14">
        <v>1</v>
      </c>
      <c r="B23" s="15" t="s">
        <v>21</v>
      </c>
      <c r="C23" s="6">
        <f ca="1">IFERROR(__xludf.DUMMYFUNCTION("importrange(""1lIwW56pLEGQ4aZILWf000qhdMveyNgnt1Q5R1h87EIs"",""'어린이집'!D23:D34"")"),162072000)</f>
        <v>162072000</v>
      </c>
      <c r="D23" s="27"/>
      <c r="E23" s="17">
        <f t="shared" ref="E23:E31" ca="1" si="26">D23-C23</f>
        <v>-162072000</v>
      </c>
      <c r="F23" s="22">
        <v>1</v>
      </c>
      <c r="G23" s="71" t="s">
        <v>9</v>
      </c>
      <c r="H23" s="70"/>
      <c r="I23" s="6">
        <f ca="1">IFERROR(__xludf.DUMMYFUNCTION("importrange(""1lIwW56pLEGQ4aZILWf000qhdMveyNgnt1Q5R1h87EIs"",""'어린이집'!J23:J25"")"),374518143)</f>
        <v>374518143</v>
      </c>
      <c r="J23" s="27"/>
      <c r="K23" s="18">
        <f t="shared" ref="K23:K25" ca="1" si="27">J23-I23</f>
        <v>-374518143</v>
      </c>
    </row>
    <row r="24" spans="1:11" ht="12.75">
      <c r="A24" s="14">
        <v>2</v>
      </c>
      <c r="B24" s="23" t="s">
        <v>22</v>
      </c>
      <c r="C24" s="28">
        <f ca="1">IFERROR(__xludf.DUMMYFUNCTION("""COMPUTED_VALUE"""),21672400)</f>
        <v>21672400</v>
      </c>
      <c r="D24" s="28"/>
      <c r="E24" s="17">
        <f t="shared" ca="1" si="26"/>
        <v>-21672400</v>
      </c>
      <c r="F24" s="66">
        <v>2</v>
      </c>
      <c r="G24" s="66" t="s">
        <v>11</v>
      </c>
      <c r="H24" s="14" t="s">
        <v>10</v>
      </c>
      <c r="I24" s="28">
        <f ca="1">IFERROR(__xludf.DUMMYFUNCTION("""COMPUTED_VALUE"""),6456000)</f>
        <v>6456000</v>
      </c>
      <c r="J24" s="28"/>
      <c r="K24" s="18">
        <f t="shared" ca="1" si="27"/>
        <v>-6456000</v>
      </c>
    </row>
    <row r="25" spans="1:11" ht="12.75">
      <c r="A25" s="14">
        <v>3</v>
      </c>
      <c r="B25" s="23" t="s">
        <v>23</v>
      </c>
      <c r="C25" s="28">
        <f ca="1">IFERROR(__xludf.DUMMYFUNCTION("""COMPUTED_VALUE"""),311740772)</f>
        <v>311740772</v>
      </c>
      <c r="D25" s="28"/>
      <c r="E25" s="17">
        <f t="shared" ca="1" si="26"/>
        <v>-311740772</v>
      </c>
      <c r="F25" s="68"/>
      <c r="G25" s="68"/>
      <c r="H25" s="14" t="s">
        <v>11</v>
      </c>
      <c r="I25" s="28">
        <f ca="1">IFERROR(__xludf.DUMMYFUNCTION("""COMPUTED_VALUE"""),33470000)</f>
        <v>33470000</v>
      </c>
      <c r="J25" s="28"/>
      <c r="K25" s="18">
        <f t="shared" ca="1" si="27"/>
        <v>-33470000</v>
      </c>
    </row>
    <row r="26" spans="1:11" ht="12.75">
      <c r="A26" s="14">
        <v>4</v>
      </c>
      <c r="B26" s="15" t="s">
        <v>13</v>
      </c>
      <c r="C26" s="28">
        <f ca="1">IFERROR(__xludf.DUMMYFUNCTION("""COMPUTED_VALUE"""),4850000)</f>
        <v>4850000</v>
      </c>
      <c r="D26" s="28"/>
      <c r="E26" s="17">
        <f t="shared" ca="1" si="26"/>
        <v>-4850000</v>
      </c>
      <c r="F26" s="29"/>
      <c r="G26" s="69" t="s">
        <v>16</v>
      </c>
      <c r="H26" s="70"/>
      <c r="I26" s="24">
        <f t="shared" ref="I26:K26" ca="1" si="28">SUM(I23:I25)</f>
        <v>414444143</v>
      </c>
      <c r="J26" s="30">
        <f t="shared" si="28"/>
        <v>0</v>
      </c>
      <c r="K26" s="25">
        <f t="shared" ca="1" si="28"/>
        <v>-414444143</v>
      </c>
    </row>
    <row r="27" spans="1:11" ht="12.75">
      <c r="A27" s="14">
        <v>5</v>
      </c>
      <c r="B27" s="15" t="s">
        <v>24</v>
      </c>
      <c r="C27" s="28">
        <f ca="1">IFERROR(__xludf.DUMMYFUNCTION("""COMPUTED_VALUE"""),0)</f>
        <v>0</v>
      </c>
      <c r="D27" s="28"/>
      <c r="E27" s="17">
        <f t="shared" ca="1" si="26"/>
        <v>0</v>
      </c>
      <c r="F27" s="15">
        <v>3</v>
      </c>
      <c r="G27" s="71" t="s">
        <v>25</v>
      </c>
      <c r="H27" s="70"/>
      <c r="I27" s="6">
        <f ca="1">IFERROR(__xludf.DUMMYFUNCTION("importrange(""1lIwW56pLEGQ4aZILWf000qhdMveyNgnt1Q5R1h87EIs"",""'어린이집'!J27:J34"")"),57434400)</f>
        <v>57434400</v>
      </c>
      <c r="J27" s="27"/>
      <c r="K27" s="18">
        <f t="shared" ref="K27:K34" ca="1" si="29">J27-I27</f>
        <v>-57434400</v>
      </c>
    </row>
    <row r="28" spans="1:11" ht="12.75">
      <c r="A28" s="14">
        <v>6</v>
      </c>
      <c r="B28" s="15" t="s">
        <v>26</v>
      </c>
      <c r="C28" s="28">
        <f ca="1">IFERROR(__xludf.DUMMYFUNCTION("""COMPUTED_VALUE"""),0)</f>
        <v>0</v>
      </c>
      <c r="D28" s="28"/>
      <c r="E28" s="17">
        <f t="shared" ca="1" si="26"/>
        <v>0</v>
      </c>
      <c r="F28" s="15">
        <v>4</v>
      </c>
      <c r="G28" s="71" t="s">
        <v>27</v>
      </c>
      <c r="H28" s="70"/>
      <c r="I28" s="28">
        <f ca="1">IFERROR(__xludf.DUMMYFUNCTION("""COMPUTED_VALUE"""),22321600)</f>
        <v>22321600</v>
      </c>
      <c r="J28" s="28"/>
      <c r="K28" s="18">
        <f t="shared" ca="1" si="29"/>
        <v>-22321600</v>
      </c>
    </row>
    <row r="29" spans="1:11" ht="12.75">
      <c r="A29" s="14">
        <v>7</v>
      </c>
      <c r="B29" s="15" t="s">
        <v>15</v>
      </c>
      <c r="C29" s="28">
        <f ca="1">IFERROR(__xludf.DUMMYFUNCTION("""COMPUTED_VALUE"""),1100)</f>
        <v>1100</v>
      </c>
      <c r="D29" s="28"/>
      <c r="E29" s="17">
        <f t="shared" ca="1" si="26"/>
        <v>-1100</v>
      </c>
      <c r="F29" s="15">
        <v>5</v>
      </c>
      <c r="G29" s="71" t="s">
        <v>26</v>
      </c>
      <c r="H29" s="70"/>
      <c r="I29" s="28">
        <f ca="1">IFERROR(__xludf.DUMMYFUNCTION("""COMPUTED_VALUE"""),0)</f>
        <v>0</v>
      </c>
      <c r="J29" s="28"/>
      <c r="K29" s="17">
        <f t="shared" ca="1" si="29"/>
        <v>0</v>
      </c>
    </row>
    <row r="30" spans="1:11" ht="12.75">
      <c r="A30" s="14">
        <v>8</v>
      </c>
      <c r="B30" s="15" t="s">
        <v>17</v>
      </c>
      <c r="C30" s="28">
        <f ca="1">IFERROR(__xludf.DUMMYFUNCTION("""COMPUTED_VALUE"""),6210000)</f>
        <v>6210000</v>
      </c>
      <c r="D30" s="28"/>
      <c r="E30" s="17">
        <f t="shared" ca="1" si="26"/>
        <v>-6210000</v>
      </c>
      <c r="F30" s="15">
        <v>6</v>
      </c>
      <c r="G30" s="71" t="s">
        <v>28</v>
      </c>
      <c r="H30" s="70"/>
      <c r="I30" s="28">
        <f ca="1">IFERROR(__xludf.DUMMYFUNCTION("""COMPUTED_VALUE"""),0)</f>
        <v>0</v>
      </c>
      <c r="J30" s="28"/>
      <c r="K30" s="17">
        <f t="shared" ca="1" si="29"/>
        <v>0</v>
      </c>
    </row>
    <row r="31" spans="1:11" ht="12.75">
      <c r="A31" s="14">
        <v>9</v>
      </c>
      <c r="B31" s="15" t="s">
        <v>29</v>
      </c>
      <c r="C31" s="28">
        <f ca="1">IFERROR(__xludf.DUMMYFUNCTION("""COMPUTED_VALUE"""),5605128)</f>
        <v>5605128</v>
      </c>
      <c r="D31" s="28"/>
      <c r="E31" s="17">
        <f t="shared" ca="1" si="26"/>
        <v>-5605128</v>
      </c>
      <c r="F31" s="15">
        <v>7</v>
      </c>
      <c r="G31" s="71" t="s">
        <v>12</v>
      </c>
      <c r="H31" s="70"/>
      <c r="I31" s="28">
        <f ca="1">IFERROR(__xludf.DUMMYFUNCTION("""COMPUTED_VALUE"""),9300000)</f>
        <v>9300000</v>
      </c>
      <c r="J31" s="28"/>
      <c r="K31" s="17">
        <f t="shared" ca="1" si="29"/>
        <v>-9300000</v>
      </c>
    </row>
    <row r="32" spans="1:11" ht="12.75">
      <c r="A32" s="71"/>
      <c r="B32" s="70"/>
      <c r="C32" s="16"/>
      <c r="D32" s="31"/>
      <c r="E32" s="17"/>
      <c r="F32" s="15">
        <v>8</v>
      </c>
      <c r="G32" s="71" t="s">
        <v>18</v>
      </c>
      <c r="H32" s="70"/>
      <c r="I32" s="28">
        <f ca="1">IFERROR(__xludf.DUMMYFUNCTION("""COMPUTED_VALUE"""),0)</f>
        <v>0</v>
      </c>
      <c r="J32" s="28"/>
      <c r="K32" s="17">
        <f t="shared" ca="1" si="29"/>
        <v>0</v>
      </c>
    </row>
    <row r="33" spans="1:11" ht="12.75">
      <c r="A33" s="85"/>
      <c r="B33" s="70"/>
      <c r="C33" s="16"/>
      <c r="D33" s="31"/>
      <c r="E33" s="26"/>
      <c r="F33" s="15">
        <v>9</v>
      </c>
      <c r="G33" s="71" t="s">
        <v>14</v>
      </c>
      <c r="H33" s="70"/>
      <c r="I33" s="28">
        <f ca="1">IFERROR(__xludf.DUMMYFUNCTION("""COMPUTED_VALUE"""),6300000)</f>
        <v>6300000</v>
      </c>
      <c r="J33" s="28"/>
      <c r="K33" s="17">
        <f t="shared" ca="1" si="29"/>
        <v>-6300000</v>
      </c>
    </row>
    <row r="34" spans="1:11" ht="12.75">
      <c r="A34" s="85"/>
      <c r="B34" s="70"/>
      <c r="C34" s="16"/>
      <c r="D34" s="31"/>
      <c r="E34" s="26"/>
      <c r="F34" s="15">
        <v>10</v>
      </c>
      <c r="G34" s="71" t="s">
        <v>19</v>
      </c>
      <c r="H34" s="70"/>
      <c r="I34" s="28">
        <f ca="1">IFERROR(__xludf.DUMMYFUNCTION("""COMPUTED_VALUE"""),2351257)</f>
        <v>2351257</v>
      </c>
      <c r="J34" s="28"/>
      <c r="K34" s="17">
        <f t="shared" ca="1" si="29"/>
        <v>-2351257</v>
      </c>
    </row>
    <row r="35" spans="1:11" ht="12.75">
      <c r="A35" s="69" t="s">
        <v>1</v>
      </c>
      <c r="B35" s="70"/>
      <c r="C35" s="19">
        <f t="shared" ref="C35:E35" ca="1" si="30">SUM(C23:C31)</f>
        <v>512151400</v>
      </c>
      <c r="D35" s="19">
        <f t="shared" si="30"/>
        <v>0</v>
      </c>
      <c r="E35" s="20">
        <f t="shared" ca="1" si="30"/>
        <v>-512151400</v>
      </c>
      <c r="F35" s="69" t="s">
        <v>1</v>
      </c>
      <c r="G35" s="72"/>
      <c r="H35" s="70"/>
      <c r="I35" s="19">
        <f t="shared" ref="I35:K35" ca="1" si="31">SUM(I26:I34)</f>
        <v>512151400</v>
      </c>
      <c r="J35" s="19">
        <f t="shared" si="31"/>
        <v>0</v>
      </c>
      <c r="K35" s="20">
        <f t="shared" ca="1" si="31"/>
        <v>-512151400</v>
      </c>
    </row>
    <row r="36" spans="1:11">
      <c r="A36" s="7"/>
      <c r="B36" s="7"/>
      <c r="C36" s="8"/>
      <c r="D36" s="8"/>
      <c r="E36" s="9"/>
      <c r="F36" s="7"/>
      <c r="G36" s="7"/>
      <c r="H36" s="8"/>
      <c r="I36" s="8"/>
      <c r="J36" s="8"/>
      <c r="K36" s="9"/>
    </row>
    <row r="37" spans="1:11" ht="26.25">
      <c r="A37" s="57" t="s">
        <v>31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ht="12.75">
      <c r="A38" s="2"/>
      <c r="B38" s="2"/>
      <c r="C38" s="2"/>
      <c r="D38" s="2"/>
      <c r="E38" s="1"/>
      <c r="F38" s="2"/>
      <c r="G38" s="2"/>
      <c r="H38" s="2"/>
      <c r="I38" s="2"/>
      <c r="J38" s="2"/>
      <c r="K38" s="12" t="s">
        <v>0</v>
      </c>
    </row>
    <row r="39" spans="1:11" ht="12.75">
      <c r="A39" s="74" t="s">
        <v>2</v>
      </c>
      <c r="B39" s="75"/>
      <c r="C39" s="78" t="s">
        <v>3</v>
      </c>
      <c r="D39" s="70"/>
      <c r="E39" s="79" t="s">
        <v>4</v>
      </c>
      <c r="F39" s="80" t="s">
        <v>5</v>
      </c>
      <c r="G39" s="81"/>
      <c r="H39" s="75"/>
      <c r="I39" s="83" t="s">
        <v>6</v>
      </c>
      <c r="J39" s="70"/>
      <c r="K39" s="84" t="s">
        <v>4</v>
      </c>
    </row>
    <row r="40" spans="1:11" ht="12.75">
      <c r="A40" s="76"/>
      <c r="B40" s="77"/>
      <c r="C40" s="5" t="s">
        <v>7</v>
      </c>
      <c r="D40" s="5" t="s">
        <v>8</v>
      </c>
      <c r="E40" s="77"/>
      <c r="F40" s="76"/>
      <c r="G40" s="82"/>
      <c r="H40" s="77"/>
      <c r="I40" s="5" t="s">
        <v>7</v>
      </c>
      <c r="J40" s="5" t="s">
        <v>8</v>
      </c>
      <c r="K40" s="77"/>
    </row>
    <row r="41" spans="1:11" ht="12.75">
      <c r="A41" s="14">
        <v>1</v>
      </c>
      <c r="B41" s="15" t="s">
        <v>21</v>
      </c>
      <c r="C41" s="6">
        <f ca="1">IFERROR(__xludf.DUMMYFUNCTION("importrange(""1lIwW56pLEGQ4aZILWf000qhdMveyNgnt1Q5R1h87EIs"",""'어린이집'!D41:D52"")"),300680000)</f>
        <v>300680000</v>
      </c>
      <c r="D41" s="21"/>
      <c r="E41" s="17">
        <f t="shared" ref="E41:E49" ca="1" si="32">D41-C41</f>
        <v>-300680000</v>
      </c>
      <c r="F41" s="66">
        <v>1</v>
      </c>
      <c r="G41" s="66" t="s">
        <v>11</v>
      </c>
      <c r="H41" s="14" t="s">
        <v>9</v>
      </c>
      <c r="I41" s="6">
        <f ca="1">IFERROR(__xludf.DUMMYFUNCTION("importrange(""1lIwW56pLEGQ4aZILWf000qhdMveyNgnt1Q5R1h87EIs"",""'어린이집'!J41:J52"")"),491265997)</f>
        <v>491265997</v>
      </c>
      <c r="J41" s="27"/>
      <c r="K41" s="18">
        <f t="shared" ref="K41:K43" ca="1" si="33">J41-I41</f>
        <v>-491265997</v>
      </c>
    </row>
    <row r="42" spans="1:11" ht="12.75">
      <c r="A42" s="14">
        <v>2</v>
      </c>
      <c r="B42" s="15" t="s">
        <v>22</v>
      </c>
      <c r="C42" s="21">
        <f ca="1">IFERROR(__xludf.DUMMYFUNCTION("""COMPUTED_VALUE"""),62575000)</f>
        <v>62575000</v>
      </c>
      <c r="D42" s="32"/>
      <c r="E42" s="17">
        <f t="shared" ca="1" si="32"/>
        <v>-62575000</v>
      </c>
      <c r="F42" s="67"/>
      <c r="G42" s="67"/>
      <c r="H42" s="14" t="s">
        <v>10</v>
      </c>
      <c r="I42" s="21">
        <f ca="1">IFERROR(__xludf.DUMMYFUNCTION("""COMPUTED_VALUE"""),9920000)</f>
        <v>9920000</v>
      </c>
      <c r="J42" s="28"/>
      <c r="K42" s="18">
        <f t="shared" ca="1" si="33"/>
        <v>-9920000</v>
      </c>
    </row>
    <row r="43" spans="1:11" ht="12.75">
      <c r="A43" s="14">
        <v>3</v>
      </c>
      <c r="B43" s="15" t="s">
        <v>23</v>
      </c>
      <c r="C43" s="21">
        <f ca="1">IFERROR(__xludf.DUMMYFUNCTION("""COMPUTED_VALUE"""),390671483)</f>
        <v>390671483</v>
      </c>
      <c r="D43" s="21"/>
      <c r="E43" s="17">
        <f t="shared" ca="1" si="32"/>
        <v>-390671483</v>
      </c>
      <c r="F43" s="67"/>
      <c r="G43" s="68"/>
      <c r="H43" s="14" t="s">
        <v>11</v>
      </c>
      <c r="I43" s="21">
        <f ca="1">IFERROR(__xludf.DUMMYFUNCTION("""COMPUTED_VALUE"""),77707600)</f>
        <v>77707600</v>
      </c>
      <c r="J43" s="28"/>
      <c r="K43" s="18">
        <f t="shared" ca="1" si="33"/>
        <v>-77707600</v>
      </c>
    </row>
    <row r="44" spans="1:11" ht="12.75">
      <c r="A44" s="14">
        <v>4</v>
      </c>
      <c r="B44" s="15" t="s">
        <v>13</v>
      </c>
      <c r="C44" s="21">
        <f ca="1">IFERROR(__xludf.DUMMYFUNCTION("""COMPUTED_VALUE"""),4364000)</f>
        <v>4364000</v>
      </c>
      <c r="D44" s="21"/>
      <c r="E44" s="17">
        <f t="shared" ca="1" si="32"/>
        <v>-4364000</v>
      </c>
      <c r="F44" s="68"/>
      <c r="G44" s="69" t="s">
        <v>16</v>
      </c>
      <c r="H44" s="70"/>
      <c r="I44" s="24">
        <f ca="1">IFERROR(__xludf.DUMMYFUNCTION("""COMPUTED_VALUE"""),578893597)</f>
        <v>578893597</v>
      </c>
      <c r="J44" s="30">
        <f t="shared" ref="J44:K44" si="34">SUM(J41:J43)</f>
        <v>0</v>
      </c>
      <c r="K44" s="25">
        <f t="shared" ca="1" si="34"/>
        <v>-578893597</v>
      </c>
    </row>
    <row r="45" spans="1:11" ht="12.75">
      <c r="A45" s="14">
        <v>5</v>
      </c>
      <c r="B45" s="15" t="s">
        <v>24</v>
      </c>
      <c r="C45" s="21">
        <f ca="1">IFERROR(__xludf.DUMMYFUNCTION("""COMPUTED_VALUE"""),0)</f>
        <v>0</v>
      </c>
      <c r="D45" s="21"/>
      <c r="E45" s="17">
        <f t="shared" ca="1" si="32"/>
        <v>0</v>
      </c>
      <c r="F45" s="14">
        <v>2</v>
      </c>
      <c r="G45" s="71" t="s">
        <v>25</v>
      </c>
      <c r="H45" s="70"/>
      <c r="I45" s="11">
        <f ca="1">IFERROR(__xludf.DUMMYFUNCTION("""COMPUTED_VALUE"""),95662800)</f>
        <v>95662800</v>
      </c>
      <c r="J45" s="27"/>
      <c r="K45" s="18">
        <f t="shared" ref="K45:K52" ca="1" si="35">J45-I45</f>
        <v>-95662800</v>
      </c>
    </row>
    <row r="46" spans="1:11" ht="12.75">
      <c r="A46" s="14">
        <v>6</v>
      </c>
      <c r="B46" s="15" t="s">
        <v>26</v>
      </c>
      <c r="C46" s="21">
        <f ca="1">IFERROR(__xludf.DUMMYFUNCTION("""COMPUTED_VALUE"""),3000000)</f>
        <v>3000000</v>
      </c>
      <c r="D46" s="21"/>
      <c r="E46" s="17">
        <f t="shared" ca="1" si="32"/>
        <v>-3000000</v>
      </c>
      <c r="F46" s="14">
        <v>3</v>
      </c>
      <c r="G46" s="71" t="s">
        <v>27</v>
      </c>
      <c r="H46" s="70"/>
      <c r="I46" s="21">
        <f ca="1">IFERROR(__xludf.DUMMYFUNCTION("""COMPUTED_VALUE"""),62575000)</f>
        <v>62575000</v>
      </c>
      <c r="J46" s="28"/>
      <c r="K46" s="18">
        <f t="shared" ca="1" si="35"/>
        <v>-62575000</v>
      </c>
    </row>
    <row r="47" spans="1:11" ht="12.75">
      <c r="A47" s="14">
        <v>7</v>
      </c>
      <c r="B47" s="15" t="s">
        <v>15</v>
      </c>
      <c r="C47" s="21">
        <f ca="1">IFERROR(__xludf.DUMMYFUNCTION("""COMPUTED_VALUE"""),8345000)</f>
        <v>8345000</v>
      </c>
      <c r="D47" s="21"/>
      <c r="E47" s="17">
        <f t="shared" ca="1" si="32"/>
        <v>-8345000</v>
      </c>
      <c r="F47" s="14">
        <v>4</v>
      </c>
      <c r="G47" s="71" t="s">
        <v>26</v>
      </c>
      <c r="H47" s="70"/>
      <c r="I47" s="21">
        <f ca="1">IFERROR(__xludf.DUMMYFUNCTION("""COMPUTED_VALUE"""),0)</f>
        <v>0</v>
      </c>
      <c r="J47" s="28"/>
      <c r="K47" s="17">
        <f t="shared" ca="1" si="35"/>
        <v>0</v>
      </c>
    </row>
    <row r="48" spans="1:11" ht="12.75">
      <c r="A48" s="14">
        <v>8</v>
      </c>
      <c r="B48" s="15" t="s">
        <v>17</v>
      </c>
      <c r="C48" s="21">
        <f ca="1">IFERROR(__xludf.DUMMYFUNCTION("""COMPUTED_VALUE"""),3009316)</f>
        <v>3009316</v>
      </c>
      <c r="D48" s="21"/>
      <c r="E48" s="17">
        <f t="shared" ca="1" si="32"/>
        <v>-3009316</v>
      </c>
      <c r="F48" s="14">
        <v>5</v>
      </c>
      <c r="G48" s="71" t="s">
        <v>28</v>
      </c>
      <c r="H48" s="70"/>
      <c r="I48" s="21">
        <f ca="1">IFERROR(__xludf.DUMMYFUNCTION("""COMPUTED_VALUE"""),3000000)</f>
        <v>3000000</v>
      </c>
      <c r="J48" s="28"/>
      <c r="K48" s="17">
        <f t="shared" ca="1" si="35"/>
        <v>-3000000</v>
      </c>
    </row>
    <row r="49" spans="1:11" ht="12.75">
      <c r="A49" s="14">
        <v>9</v>
      </c>
      <c r="B49" s="15" t="s">
        <v>29</v>
      </c>
      <c r="C49" s="21">
        <f ca="1">IFERROR(__xludf.DUMMYFUNCTION("""COMPUTED_VALUE"""),10000000)</f>
        <v>10000000</v>
      </c>
      <c r="D49" s="21"/>
      <c r="E49" s="17">
        <f t="shared" ca="1" si="32"/>
        <v>-10000000</v>
      </c>
      <c r="F49" s="14">
        <v>6</v>
      </c>
      <c r="G49" s="71" t="s">
        <v>12</v>
      </c>
      <c r="H49" s="70"/>
      <c r="I49" s="21">
        <f ca="1">IFERROR(__xludf.DUMMYFUNCTION("""COMPUTED_VALUE"""),31050000)</f>
        <v>31050000</v>
      </c>
      <c r="J49" s="28"/>
      <c r="K49" s="17">
        <f t="shared" ca="1" si="35"/>
        <v>-31050000</v>
      </c>
    </row>
    <row r="50" spans="1:11" ht="12.75">
      <c r="A50" s="71"/>
      <c r="B50" s="70"/>
      <c r="C50" s="16"/>
      <c r="D50" s="16"/>
      <c r="E50" s="17"/>
      <c r="F50" s="14">
        <v>7</v>
      </c>
      <c r="G50" s="71" t="s">
        <v>18</v>
      </c>
      <c r="H50" s="70"/>
      <c r="I50" s="21">
        <f ca="1">IFERROR(__xludf.DUMMYFUNCTION("""COMPUTED_VALUE"""),4800000)</f>
        <v>4800000</v>
      </c>
      <c r="J50" s="28"/>
      <c r="K50" s="17">
        <f t="shared" ca="1" si="35"/>
        <v>-4800000</v>
      </c>
    </row>
    <row r="51" spans="1:11" ht="12.75">
      <c r="A51" s="85"/>
      <c r="B51" s="70"/>
      <c r="C51" s="16"/>
      <c r="D51" s="16"/>
      <c r="E51" s="26"/>
      <c r="F51" s="14">
        <v>8</v>
      </c>
      <c r="G51" s="71" t="s">
        <v>14</v>
      </c>
      <c r="H51" s="70"/>
      <c r="I51" s="21">
        <f ca="1">IFERROR(__xludf.DUMMYFUNCTION("""COMPUTED_VALUE"""),1163402)</f>
        <v>1163402</v>
      </c>
      <c r="J51" s="28"/>
      <c r="K51" s="17">
        <f t="shared" ca="1" si="35"/>
        <v>-1163402</v>
      </c>
    </row>
    <row r="52" spans="1:11" ht="12.75">
      <c r="A52" s="85"/>
      <c r="B52" s="70"/>
      <c r="C52" s="16"/>
      <c r="D52" s="16"/>
      <c r="E52" s="26"/>
      <c r="F52" s="14">
        <v>9</v>
      </c>
      <c r="G52" s="71" t="s">
        <v>19</v>
      </c>
      <c r="H52" s="70"/>
      <c r="I52" s="21">
        <f ca="1">IFERROR(__xludf.DUMMYFUNCTION("""COMPUTED_VALUE"""),5500000)</f>
        <v>5500000</v>
      </c>
      <c r="J52" s="28"/>
      <c r="K52" s="17">
        <f t="shared" ca="1" si="35"/>
        <v>-5500000</v>
      </c>
    </row>
    <row r="53" spans="1:11" ht="12.75">
      <c r="A53" s="69" t="s">
        <v>1</v>
      </c>
      <c r="B53" s="70"/>
      <c r="C53" s="19">
        <f t="shared" ref="C53:E53" ca="1" si="36">SUM(C41:C49)</f>
        <v>782644799</v>
      </c>
      <c r="D53" s="19">
        <f t="shared" si="36"/>
        <v>0</v>
      </c>
      <c r="E53" s="20">
        <f t="shared" ca="1" si="36"/>
        <v>-782644799</v>
      </c>
      <c r="F53" s="69" t="s">
        <v>1</v>
      </c>
      <c r="G53" s="72"/>
      <c r="H53" s="70"/>
      <c r="I53" s="19">
        <f t="shared" ref="I53:K53" ca="1" si="37">SUM(I44:I52)</f>
        <v>782644799</v>
      </c>
      <c r="J53" s="19">
        <f t="shared" si="37"/>
        <v>0</v>
      </c>
      <c r="K53" s="20">
        <f t="shared" ca="1" si="37"/>
        <v>-782644799</v>
      </c>
    </row>
    <row r="54" spans="1:11" ht="26.25">
      <c r="A54" s="3"/>
      <c r="B54" s="3"/>
      <c r="C54" s="3"/>
      <c r="D54" s="3"/>
      <c r="E54" s="13"/>
      <c r="F54" s="3"/>
      <c r="G54" s="3"/>
      <c r="H54" s="3"/>
      <c r="I54" s="3"/>
      <c r="J54" s="3"/>
      <c r="K54" s="13"/>
    </row>
    <row r="55" spans="1:11" ht="26.25">
      <c r="A55" s="57" t="s">
        <v>32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2.75">
      <c r="A56" s="2"/>
      <c r="B56" s="2"/>
      <c r="C56" s="2"/>
      <c r="D56" s="2"/>
      <c r="E56" s="1"/>
      <c r="F56" s="2"/>
      <c r="G56" s="2"/>
      <c r="H56" s="2"/>
      <c r="I56" s="2"/>
      <c r="J56" s="2"/>
      <c r="K56" s="10" t="s">
        <v>0</v>
      </c>
    </row>
    <row r="57" spans="1:11" ht="12.75">
      <c r="A57" s="74" t="s">
        <v>2</v>
      </c>
      <c r="B57" s="75"/>
      <c r="C57" s="78" t="s">
        <v>3</v>
      </c>
      <c r="D57" s="70"/>
      <c r="E57" s="79" t="s">
        <v>4</v>
      </c>
      <c r="F57" s="80" t="s">
        <v>5</v>
      </c>
      <c r="G57" s="81"/>
      <c r="H57" s="75"/>
      <c r="I57" s="83" t="s">
        <v>6</v>
      </c>
      <c r="J57" s="70"/>
      <c r="K57" s="84" t="s">
        <v>4</v>
      </c>
    </row>
    <row r="58" spans="1:11" ht="12.75">
      <c r="A58" s="76"/>
      <c r="B58" s="77"/>
      <c r="C58" s="5" t="s">
        <v>7</v>
      </c>
      <c r="D58" s="5" t="s">
        <v>8</v>
      </c>
      <c r="E58" s="77"/>
      <c r="F58" s="76"/>
      <c r="G58" s="82"/>
      <c r="H58" s="77"/>
      <c r="I58" s="5" t="s">
        <v>7</v>
      </c>
      <c r="J58" s="5" t="s">
        <v>8</v>
      </c>
      <c r="K58" s="77"/>
    </row>
    <row r="59" spans="1:11" ht="12.75">
      <c r="A59" s="14">
        <v>1</v>
      </c>
      <c r="B59" s="15" t="s">
        <v>21</v>
      </c>
      <c r="C59" s="6">
        <f ca="1">IFERROR(__xludf.DUMMYFUNCTION("importrange(""1lIwW56pLEGQ4aZILWf000qhdMveyNgnt1Q5R1h87EIs"",""'어린이집'!D59:D70"")"),782532000)</f>
        <v>782532000</v>
      </c>
      <c r="D59" s="21"/>
      <c r="E59" s="17">
        <f t="shared" ref="E59:E67" ca="1" si="38">D59-C59</f>
        <v>-782532000</v>
      </c>
      <c r="F59" s="66">
        <v>1</v>
      </c>
      <c r="G59" s="66" t="s">
        <v>11</v>
      </c>
      <c r="H59" s="14" t="s">
        <v>9</v>
      </c>
      <c r="I59" s="6">
        <f ca="1">IFERROR(__xludf.DUMMYFUNCTION("importrange(""1lIwW56pLEGQ4aZILWf000qhdMveyNgnt1Q5R1h87EIs"",""'어린이집'!J59:J70"")"),1021162129)</f>
        <v>1021162129</v>
      </c>
      <c r="J59" s="27"/>
      <c r="K59" s="18">
        <f t="shared" ref="K59:K61" ca="1" si="39">J59-I59</f>
        <v>-1021162129</v>
      </c>
    </row>
    <row r="60" spans="1:11" ht="12.75">
      <c r="A60" s="14">
        <v>2</v>
      </c>
      <c r="B60" s="23" t="s">
        <v>22</v>
      </c>
      <c r="C60" s="21">
        <f ca="1">IFERROR(__xludf.DUMMYFUNCTION("""COMPUTED_VALUE"""),232573000)</f>
        <v>232573000</v>
      </c>
      <c r="D60" s="32"/>
      <c r="E60" s="17">
        <f t="shared" ca="1" si="38"/>
        <v>-232573000</v>
      </c>
      <c r="F60" s="67"/>
      <c r="G60" s="67"/>
      <c r="H60" s="14" t="s">
        <v>10</v>
      </c>
      <c r="I60" s="21">
        <f ca="1">IFERROR(__xludf.DUMMYFUNCTION("""COMPUTED_VALUE"""),22480000)</f>
        <v>22480000</v>
      </c>
      <c r="J60" s="28"/>
      <c r="K60" s="18">
        <f t="shared" ca="1" si="39"/>
        <v>-22480000</v>
      </c>
    </row>
    <row r="61" spans="1:11" ht="12.75">
      <c r="A61" s="14">
        <v>3</v>
      </c>
      <c r="B61" s="23" t="s">
        <v>23</v>
      </c>
      <c r="C61" s="21">
        <f ca="1">IFERROR(__xludf.DUMMYFUNCTION("""COMPUTED_VALUE"""),863426306)</f>
        <v>863426306</v>
      </c>
      <c r="D61" s="21"/>
      <c r="E61" s="17">
        <f t="shared" ca="1" si="38"/>
        <v>-863426306</v>
      </c>
      <c r="F61" s="67"/>
      <c r="G61" s="68"/>
      <c r="H61" s="14" t="s">
        <v>11</v>
      </c>
      <c r="I61" s="21">
        <f ca="1">IFERROR(__xludf.DUMMYFUNCTION("""COMPUTED_VALUE"""),136892530)</f>
        <v>136892530</v>
      </c>
      <c r="J61" s="28"/>
      <c r="K61" s="18">
        <f t="shared" ca="1" si="39"/>
        <v>-136892530</v>
      </c>
    </row>
    <row r="62" spans="1:11" ht="12.75">
      <c r="A62" s="14">
        <v>4</v>
      </c>
      <c r="B62" s="15" t="s">
        <v>13</v>
      </c>
      <c r="C62" s="21">
        <f ca="1">IFERROR(__xludf.DUMMYFUNCTION("""COMPUTED_VALUE"""),12800000)</f>
        <v>12800000</v>
      </c>
      <c r="D62" s="21"/>
      <c r="E62" s="17">
        <f t="shared" ca="1" si="38"/>
        <v>-12800000</v>
      </c>
      <c r="F62" s="68"/>
      <c r="G62" s="69" t="s">
        <v>16</v>
      </c>
      <c r="H62" s="70"/>
      <c r="I62" s="24">
        <f ca="1">IFERROR(__xludf.DUMMYFUNCTION("""COMPUTED_VALUE"""),1180534659)</f>
        <v>1180534659</v>
      </c>
      <c r="J62" s="30">
        <f t="shared" ref="J62:K62" si="40">SUM(J59:J61)</f>
        <v>0</v>
      </c>
      <c r="K62" s="25">
        <f t="shared" ca="1" si="40"/>
        <v>-1180534659</v>
      </c>
    </row>
    <row r="63" spans="1:11" ht="12.75">
      <c r="A63" s="14">
        <v>5</v>
      </c>
      <c r="B63" s="15" t="s">
        <v>24</v>
      </c>
      <c r="C63" s="21">
        <f ca="1">IFERROR(__xludf.DUMMYFUNCTION("""COMPUTED_VALUE"""),0)</f>
        <v>0</v>
      </c>
      <c r="D63" s="21"/>
      <c r="E63" s="17">
        <f t="shared" ca="1" si="38"/>
        <v>0</v>
      </c>
      <c r="F63" s="14">
        <v>2</v>
      </c>
      <c r="G63" s="71" t="s">
        <v>25</v>
      </c>
      <c r="H63" s="70"/>
      <c r="I63" s="11">
        <f ca="1">IFERROR(__xludf.DUMMYFUNCTION("""COMPUTED_VALUE"""),349319600)</f>
        <v>349319600</v>
      </c>
      <c r="J63" s="27"/>
      <c r="K63" s="18">
        <f t="shared" ref="K63:K70" ca="1" si="41">J63-I63</f>
        <v>-349319600</v>
      </c>
    </row>
    <row r="64" spans="1:11" ht="12.75">
      <c r="A64" s="14">
        <v>6</v>
      </c>
      <c r="B64" s="15" t="s">
        <v>26</v>
      </c>
      <c r="C64" s="21">
        <f ca="1">IFERROR(__xludf.DUMMYFUNCTION("""COMPUTED_VALUE"""),5000000)</f>
        <v>5000000</v>
      </c>
      <c r="D64" s="21"/>
      <c r="E64" s="17">
        <f t="shared" ca="1" si="38"/>
        <v>-5000000</v>
      </c>
      <c r="F64" s="14">
        <v>3</v>
      </c>
      <c r="G64" s="71" t="s">
        <v>27</v>
      </c>
      <c r="H64" s="70"/>
      <c r="I64" s="21">
        <f ca="1">IFERROR(__xludf.DUMMYFUNCTION("""COMPUTED_VALUE"""),235853000)</f>
        <v>235853000</v>
      </c>
      <c r="J64" s="28"/>
      <c r="K64" s="18">
        <f t="shared" ca="1" si="41"/>
        <v>-235853000</v>
      </c>
    </row>
    <row r="65" spans="1:11" ht="12.75">
      <c r="A65" s="14">
        <v>7</v>
      </c>
      <c r="B65" s="15" t="s">
        <v>15</v>
      </c>
      <c r="C65" s="21">
        <f ca="1">IFERROR(__xludf.DUMMYFUNCTION("""COMPUTED_VALUE"""),7005000)</f>
        <v>7005000</v>
      </c>
      <c r="D65" s="21"/>
      <c r="E65" s="17">
        <f t="shared" ca="1" si="38"/>
        <v>-7005000</v>
      </c>
      <c r="F65" s="14">
        <v>4</v>
      </c>
      <c r="G65" s="71" t="s">
        <v>26</v>
      </c>
      <c r="H65" s="70"/>
      <c r="I65" s="21">
        <f ca="1">IFERROR(__xludf.DUMMYFUNCTION("""COMPUTED_VALUE"""),0)</f>
        <v>0</v>
      </c>
      <c r="J65" s="28"/>
      <c r="K65" s="17">
        <f t="shared" ca="1" si="41"/>
        <v>0</v>
      </c>
    </row>
    <row r="66" spans="1:11" ht="12.75">
      <c r="A66" s="14">
        <v>8</v>
      </c>
      <c r="B66" s="15" t="s">
        <v>17</v>
      </c>
      <c r="C66" s="21">
        <f ca="1">IFERROR(__xludf.DUMMYFUNCTION("""COMPUTED_VALUE"""),7300000)</f>
        <v>7300000</v>
      </c>
      <c r="D66" s="21"/>
      <c r="E66" s="17">
        <f t="shared" ca="1" si="38"/>
        <v>-7300000</v>
      </c>
      <c r="F66" s="14">
        <v>5</v>
      </c>
      <c r="G66" s="71" t="s">
        <v>28</v>
      </c>
      <c r="H66" s="70"/>
      <c r="I66" s="21">
        <f ca="1">IFERROR(__xludf.DUMMYFUNCTION("""COMPUTED_VALUE"""),1889336)</f>
        <v>1889336</v>
      </c>
      <c r="J66" s="28"/>
      <c r="K66" s="17">
        <f t="shared" ca="1" si="41"/>
        <v>-1889336</v>
      </c>
    </row>
    <row r="67" spans="1:11" ht="12.75">
      <c r="A67" s="14">
        <v>9</v>
      </c>
      <c r="B67" s="15" t="s">
        <v>29</v>
      </c>
      <c r="C67" s="21">
        <f ca="1">IFERROR(__xludf.DUMMYFUNCTION("""COMPUTED_VALUE"""),26268633)</f>
        <v>26268633</v>
      </c>
      <c r="D67" s="21"/>
      <c r="E67" s="17">
        <f t="shared" ca="1" si="38"/>
        <v>-26268633</v>
      </c>
      <c r="F67" s="14">
        <v>6</v>
      </c>
      <c r="G67" s="71" t="s">
        <v>12</v>
      </c>
      <c r="H67" s="70"/>
      <c r="I67" s="21">
        <f ca="1">IFERROR(__xludf.DUMMYFUNCTION("""COMPUTED_VALUE"""),154000000)</f>
        <v>154000000</v>
      </c>
      <c r="J67" s="28"/>
      <c r="K67" s="17">
        <f t="shared" ca="1" si="41"/>
        <v>-154000000</v>
      </c>
    </row>
    <row r="68" spans="1:11" ht="12.75">
      <c r="A68" s="71"/>
      <c r="B68" s="70"/>
      <c r="C68" s="16"/>
      <c r="D68" s="16"/>
      <c r="E68" s="17"/>
      <c r="F68" s="14">
        <v>7</v>
      </c>
      <c r="G68" s="71" t="s">
        <v>18</v>
      </c>
      <c r="H68" s="70"/>
      <c r="I68" s="21">
        <f ca="1">IFERROR(__xludf.DUMMYFUNCTION("""COMPUTED_VALUE"""),8302950)</f>
        <v>8302950</v>
      </c>
      <c r="J68" s="28"/>
      <c r="K68" s="17">
        <f t="shared" ca="1" si="41"/>
        <v>-8302950</v>
      </c>
    </row>
    <row r="69" spans="1:11" ht="12.75">
      <c r="A69" s="85"/>
      <c r="B69" s="70"/>
      <c r="C69" s="16"/>
      <c r="D69" s="16"/>
      <c r="E69" s="26"/>
      <c r="F69" s="14">
        <v>8</v>
      </c>
      <c r="G69" s="71" t="s">
        <v>14</v>
      </c>
      <c r="H69" s="70"/>
      <c r="I69" s="21">
        <f ca="1">IFERROR(__xludf.DUMMYFUNCTION("""COMPUTED_VALUE"""),200000)</f>
        <v>200000</v>
      </c>
      <c r="J69" s="28"/>
      <c r="K69" s="17">
        <f t="shared" ca="1" si="41"/>
        <v>-200000</v>
      </c>
    </row>
    <row r="70" spans="1:11" ht="12.75">
      <c r="A70" s="85"/>
      <c r="B70" s="70"/>
      <c r="C70" s="16"/>
      <c r="D70" s="16"/>
      <c r="E70" s="26"/>
      <c r="F70" s="14">
        <v>9</v>
      </c>
      <c r="G70" s="71" t="s">
        <v>19</v>
      </c>
      <c r="H70" s="70"/>
      <c r="I70" s="21">
        <f ca="1">IFERROR(__xludf.DUMMYFUNCTION("""COMPUTED_VALUE"""),6805394)</f>
        <v>6805394</v>
      </c>
      <c r="J70" s="28"/>
      <c r="K70" s="17">
        <f t="shared" ca="1" si="41"/>
        <v>-6805394</v>
      </c>
    </row>
    <row r="71" spans="1:11" ht="12.75">
      <c r="A71" s="69" t="s">
        <v>1</v>
      </c>
      <c r="B71" s="70"/>
      <c r="C71" s="19">
        <f t="shared" ref="C71:E71" ca="1" si="42">SUM(C59:C67)</f>
        <v>1936904939</v>
      </c>
      <c r="D71" s="19">
        <f t="shared" si="42"/>
        <v>0</v>
      </c>
      <c r="E71" s="20">
        <f t="shared" ca="1" si="42"/>
        <v>-1936904939</v>
      </c>
      <c r="F71" s="69" t="s">
        <v>1</v>
      </c>
      <c r="G71" s="72"/>
      <c r="H71" s="70"/>
      <c r="I71" s="19">
        <f t="shared" ref="I71:K71" ca="1" si="43">SUM(I62:I70)</f>
        <v>1936904939</v>
      </c>
      <c r="J71" s="19">
        <f t="shared" si="43"/>
        <v>0</v>
      </c>
      <c r="K71" s="20">
        <f t="shared" ca="1" si="43"/>
        <v>-1936904939</v>
      </c>
    </row>
    <row r="72" spans="1:11">
      <c r="A72" s="7"/>
      <c r="B72" s="7"/>
      <c r="C72" s="8"/>
      <c r="D72" s="8"/>
      <c r="E72" s="9"/>
      <c r="F72" s="7"/>
      <c r="G72" s="7"/>
      <c r="H72" s="8"/>
      <c r="I72" s="8"/>
      <c r="J72" s="8"/>
      <c r="K72" s="9"/>
    </row>
    <row r="73" spans="1:11" ht="26.25">
      <c r="A73" s="57" t="s">
        <v>33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2.75">
      <c r="A74" s="2"/>
      <c r="B74" s="2"/>
      <c r="C74" s="2"/>
      <c r="D74" s="2"/>
      <c r="E74" s="1"/>
      <c r="F74" s="2"/>
      <c r="G74" s="2"/>
      <c r="H74" s="2"/>
      <c r="I74" s="2"/>
      <c r="J74" s="2"/>
      <c r="K74" s="12" t="s">
        <v>0</v>
      </c>
    </row>
    <row r="75" spans="1:11" ht="12.75">
      <c r="A75" s="74" t="s">
        <v>2</v>
      </c>
      <c r="B75" s="75"/>
      <c r="C75" s="78" t="s">
        <v>3</v>
      </c>
      <c r="D75" s="70"/>
      <c r="E75" s="79" t="s">
        <v>4</v>
      </c>
      <c r="F75" s="80" t="s">
        <v>5</v>
      </c>
      <c r="G75" s="81"/>
      <c r="H75" s="75"/>
      <c r="I75" s="83" t="s">
        <v>6</v>
      </c>
      <c r="J75" s="70"/>
      <c r="K75" s="84" t="s">
        <v>4</v>
      </c>
    </row>
    <row r="76" spans="1:11" ht="12.75">
      <c r="A76" s="76"/>
      <c r="B76" s="77"/>
      <c r="C76" s="5" t="s">
        <v>7</v>
      </c>
      <c r="D76" s="5" t="s">
        <v>8</v>
      </c>
      <c r="E76" s="77"/>
      <c r="F76" s="76"/>
      <c r="G76" s="82"/>
      <c r="H76" s="77"/>
      <c r="I76" s="5" t="s">
        <v>7</v>
      </c>
      <c r="J76" s="5" t="s">
        <v>8</v>
      </c>
      <c r="K76" s="77"/>
    </row>
    <row r="77" spans="1:11" ht="12.75">
      <c r="A77" s="14">
        <v>1</v>
      </c>
      <c r="B77" s="15" t="s">
        <v>21</v>
      </c>
      <c r="C77" s="6">
        <f ca="1">IFERROR(__xludf.DUMMYFUNCTION("importrange(""1lIwW56pLEGQ4aZILWf000qhdMveyNgnt1Q5R1h87EIs"",""'어린이집'!D77:D88"")"),589788000)</f>
        <v>589788000</v>
      </c>
      <c r="D77" s="21"/>
      <c r="E77" s="17">
        <f t="shared" ref="E77:E85" ca="1" si="44">D77-C77</f>
        <v>-589788000</v>
      </c>
      <c r="F77" s="66">
        <v>1</v>
      </c>
      <c r="G77" s="66" t="s">
        <v>11</v>
      </c>
      <c r="H77" s="14" t="s">
        <v>9</v>
      </c>
      <c r="I77" s="6">
        <f ca="1">IFERROR(__xludf.DUMMYFUNCTION("importrange(""1lIwW56pLEGQ4aZILWf000qhdMveyNgnt1Q5R1h87EIs"",""'어린이집'!J77:J88"")"),919762900)</f>
        <v>919762900</v>
      </c>
      <c r="J77" s="27"/>
      <c r="K77" s="18">
        <f t="shared" ref="K77:K79" ca="1" si="45">J77-I77</f>
        <v>-919762900</v>
      </c>
    </row>
    <row r="78" spans="1:11" ht="12.75">
      <c r="A78" s="14">
        <v>2</v>
      </c>
      <c r="B78" s="23" t="s">
        <v>22</v>
      </c>
      <c r="C78" s="21">
        <f ca="1">IFERROR(__xludf.DUMMYFUNCTION("""COMPUTED_VALUE"""),82192700)</f>
        <v>82192700</v>
      </c>
      <c r="D78" s="32"/>
      <c r="E78" s="17">
        <f t="shared" ca="1" si="44"/>
        <v>-82192700</v>
      </c>
      <c r="F78" s="67"/>
      <c r="G78" s="67"/>
      <c r="H78" s="14" t="s">
        <v>10</v>
      </c>
      <c r="I78" s="21">
        <f ca="1">IFERROR(__xludf.DUMMYFUNCTION("""COMPUTED_VALUE"""),9400000)</f>
        <v>9400000</v>
      </c>
      <c r="J78" s="28"/>
      <c r="K78" s="18">
        <f t="shared" ca="1" si="45"/>
        <v>-9400000</v>
      </c>
    </row>
    <row r="79" spans="1:11" ht="12.75">
      <c r="A79" s="14">
        <v>3</v>
      </c>
      <c r="B79" s="23" t="s">
        <v>23</v>
      </c>
      <c r="C79" s="21">
        <f ca="1">IFERROR(__xludf.DUMMYFUNCTION("""COMPUTED_VALUE"""),642533080)</f>
        <v>642533080</v>
      </c>
      <c r="D79" s="21"/>
      <c r="E79" s="17">
        <f t="shared" ca="1" si="44"/>
        <v>-642533080</v>
      </c>
      <c r="F79" s="67"/>
      <c r="G79" s="68"/>
      <c r="H79" s="14" t="s">
        <v>11</v>
      </c>
      <c r="I79" s="21">
        <f ca="1">IFERROR(__xludf.DUMMYFUNCTION("""COMPUTED_VALUE"""),103341400)</f>
        <v>103341400</v>
      </c>
      <c r="J79" s="28"/>
      <c r="K79" s="18">
        <f t="shared" ca="1" si="45"/>
        <v>-103341400</v>
      </c>
    </row>
    <row r="80" spans="1:11" ht="12.75">
      <c r="A80" s="14">
        <v>4</v>
      </c>
      <c r="B80" s="15" t="s">
        <v>13</v>
      </c>
      <c r="C80" s="21">
        <f ca="1">IFERROR(__xludf.DUMMYFUNCTION("""COMPUTED_VALUE"""),2680000)</f>
        <v>2680000</v>
      </c>
      <c r="D80" s="21"/>
      <c r="E80" s="17">
        <f t="shared" ca="1" si="44"/>
        <v>-2680000</v>
      </c>
      <c r="F80" s="68"/>
      <c r="G80" s="69" t="s">
        <v>16</v>
      </c>
      <c r="H80" s="70"/>
      <c r="I80" s="30">
        <f ca="1">IFERROR(__xludf.DUMMYFUNCTION("""COMPUTED_VALUE"""),1032504300)</f>
        <v>1032504300</v>
      </c>
      <c r="J80" s="30">
        <f t="shared" ref="J80:K80" si="46">SUM(J77:J79)</f>
        <v>0</v>
      </c>
      <c r="K80" s="33">
        <f t="shared" ca="1" si="46"/>
        <v>-1032504300</v>
      </c>
    </row>
    <row r="81" spans="1:11" ht="12.75">
      <c r="A81" s="14">
        <v>5</v>
      </c>
      <c r="B81" s="15" t="s">
        <v>24</v>
      </c>
      <c r="C81" s="21">
        <f ca="1">IFERROR(__xludf.DUMMYFUNCTION("""COMPUTED_VALUE"""),0)</f>
        <v>0</v>
      </c>
      <c r="D81" s="21"/>
      <c r="E81" s="17">
        <f t="shared" ca="1" si="44"/>
        <v>0</v>
      </c>
      <c r="F81" s="14">
        <v>2</v>
      </c>
      <c r="G81" s="71" t="s">
        <v>25</v>
      </c>
      <c r="H81" s="70"/>
      <c r="I81" s="11">
        <f ca="1">IFERROR(__xludf.DUMMYFUNCTION("""COMPUTED_VALUE"""),193185600)</f>
        <v>193185600</v>
      </c>
      <c r="J81" s="27"/>
      <c r="K81" s="18">
        <f t="shared" ref="K81:K88" ca="1" si="47">J81-I81</f>
        <v>-193185600</v>
      </c>
    </row>
    <row r="82" spans="1:11" ht="12.75">
      <c r="A82" s="14">
        <v>6</v>
      </c>
      <c r="B82" s="15" t="s">
        <v>26</v>
      </c>
      <c r="C82" s="21">
        <f ca="1">IFERROR(__xludf.DUMMYFUNCTION("""COMPUTED_VALUE"""),0)</f>
        <v>0</v>
      </c>
      <c r="D82" s="21"/>
      <c r="E82" s="17">
        <f t="shared" ca="1" si="44"/>
        <v>0</v>
      </c>
      <c r="F82" s="14">
        <v>3</v>
      </c>
      <c r="G82" s="71" t="s">
        <v>27</v>
      </c>
      <c r="H82" s="70"/>
      <c r="I82" s="21">
        <f ca="1">IFERROR(__xludf.DUMMYFUNCTION("""COMPUTED_VALUE"""),82890800)</f>
        <v>82890800</v>
      </c>
      <c r="J82" s="28"/>
      <c r="K82" s="18">
        <f t="shared" ca="1" si="47"/>
        <v>-82890800</v>
      </c>
    </row>
    <row r="83" spans="1:11" ht="12.75">
      <c r="A83" s="14">
        <v>7</v>
      </c>
      <c r="B83" s="15" t="s">
        <v>15</v>
      </c>
      <c r="C83" s="21">
        <f ca="1">IFERROR(__xludf.DUMMYFUNCTION("""COMPUTED_VALUE"""),0)</f>
        <v>0</v>
      </c>
      <c r="D83" s="21"/>
      <c r="E83" s="17">
        <f t="shared" ca="1" si="44"/>
        <v>0</v>
      </c>
      <c r="F83" s="14">
        <v>4</v>
      </c>
      <c r="G83" s="71" t="s">
        <v>26</v>
      </c>
      <c r="H83" s="70"/>
      <c r="I83" s="21">
        <f ca="1">IFERROR(__xludf.DUMMYFUNCTION("""COMPUTED_VALUE"""),0)</f>
        <v>0</v>
      </c>
      <c r="J83" s="28"/>
      <c r="K83" s="17">
        <f t="shared" ca="1" si="47"/>
        <v>0</v>
      </c>
    </row>
    <row r="84" spans="1:11" ht="12.75">
      <c r="A84" s="14">
        <v>8</v>
      </c>
      <c r="B84" s="15" t="s">
        <v>17</v>
      </c>
      <c r="C84" s="21">
        <f ca="1">IFERROR(__xludf.DUMMYFUNCTION("""COMPUTED_VALUE"""),2400000)</f>
        <v>2400000</v>
      </c>
      <c r="D84" s="21"/>
      <c r="E84" s="17">
        <f t="shared" ca="1" si="44"/>
        <v>-2400000</v>
      </c>
      <c r="F84" s="14">
        <v>5</v>
      </c>
      <c r="G84" s="71" t="s">
        <v>28</v>
      </c>
      <c r="H84" s="70"/>
      <c r="I84" s="21">
        <f ca="1">IFERROR(__xludf.DUMMYFUNCTION("""COMPUTED_VALUE"""),1000000)</f>
        <v>1000000</v>
      </c>
      <c r="J84" s="28"/>
      <c r="K84" s="17">
        <f t="shared" ca="1" si="47"/>
        <v>-1000000</v>
      </c>
    </row>
    <row r="85" spans="1:11" ht="12.75">
      <c r="A85" s="14">
        <v>9</v>
      </c>
      <c r="B85" s="15" t="s">
        <v>29</v>
      </c>
      <c r="C85" s="21">
        <f ca="1">IFERROR(__xludf.DUMMYFUNCTION("""COMPUTED_VALUE"""),25511476)</f>
        <v>25511476</v>
      </c>
      <c r="D85" s="21"/>
      <c r="E85" s="17">
        <f t="shared" ca="1" si="44"/>
        <v>-25511476</v>
      </c>
      <c r="F85" s="14">
        <v>6</v>
      </c>
      <c r="G85" s="71" t="s">
        <v>12</v>
      </c>
      <c r="H85" s="70"/>
      <c r="I85" s="21">
        <f ca="1">IFERROR(__xludf.DUMMYFUNCTION("""COMPUTED_VALUE"""),30750800)</f>
        <v>30750800</v>
      </c>
      <c r="J85" s="28"/>
      <c r="K85" s="17">
        <f t="shared" ca="1" si="47"/>
        <v>-30750800</v>
      </c>
    </row>
    <row r="86" spans="1:11" ht="12.75">
      <c r="A86" s="71"/>
      <c r="B86" s="70"/>
      <c r="C86" s="16"/>
      <c r="D86" s="16"/>
      <c r="E86" s="17"/>
      <c r="F86" s="14">
        <v>7</v>
      </c>
      <c r="G86" s="71" t="s">
        <v>18</v>
      </c>
      <c r="H86" s="70"/>
      <c r="I86" s="21">
        <f ca="1">IFERROR(__xludf.DUMMYFUNCTION("""COMPUTED_VALUE"""),0)</f>
        <v>0</v>
      </c>
      <c r="J86" s="28"/>
      <c r="K86" s="17">
        <f t="shared" ca="1" si="47"/>
        <v>0</v>
      </c>
    </row>
    <row r="87" spans="1:11" ht="12.75">
      <c r="A87" s="85"/>
      <c r="B87" s="70"/>
      <c r="C87" s="16"/>
      <c r="D87" s="16"/>
      <c r="E87" s="26"/>
      <c r="F87" s="14">
        <v>8</v>
      </c>
      <c r="G87" s="71" t="s">
        <v>14</v>
      </c>
      <c r="H87" s="70"/>
      <c r="I87" s="21">
        <f ca="1">IFERROR(__xludf.DUMMYFUNCTION("""COMPUTED_VALUE"""),4140000)</f>
        <v>4140000</v>
      </c>
      <c r="J87" s="28"/>
      <c r="K87" s="17">
        <f t="shared" ca="1" si="47"/>
        <v>-4140000</v>
      </c>
    </row>
    <row r="88" spans="1:11" ht="12.75">
      <c r="A88" s="85"/>
      <c r="B88" s="70"/>
      <c r="C88" s="16"/>
      <c r="D88" s="16"/>
      <c r="E88" s="26"/>
      <c r="F88" s="14">
        <v>9</v>
      </c>
      <c r="G88" s="71" t="s">
        <v>19</v>
      </c>
      <c r="H88" s="70"/>
      <c r="I88" s="21">
        <f ca="1">IFERROR(__xludf.DUMMYFUNCTION("""COMPUTED_VALUE"""),633756)</f>
        <v>633756</v>
      </c>
      <c r="J88" s="28"/>
      <c r="K88" s="17">
        <f t="shared" ca="1" si="47"/>
        <v>-633756</v>
      </c>
    </row>
    <row r="89" spans="1:11" ht="12.75">
      <c r="A89" s="69" t="s">
        <v>1</v>
      </c>
      <c r="B89" s="70"/>
      <c r="C89" s="19">
        <f t="shared" ref="C89:E89" ca="1" si="48">SUM(C77:C85)</f>
        <v>1345105256</v>
      </c>
      <c r="D89" s="19">
        <f t="shared" si="48"/>
        <v>0</v>
      </c>
      <c r="E89" s="20">
        <f t="shared" ca="1" si="48"/>
        <v>-1345105256</v>
      </c>
      <c r="F89" s="69" t="s">
        <v>1</v>
      </c>
      <c r="G89" s="72"/>
      <c r="H89" s="70"/>
      <c r="I89" s="19">
        <f t="shared" ref="I89:K89" ca="1" si="49">SUM(I80:I88)</f>
        <v>1345105256</v>
      </c>
      <c r="J89" s="19">
        <f t="shared" si="49"/>
        <v>0</v>
      </c>
      <c r="K89" s="20">
        <f t="shared" ca="1" si="49"/>
        <v>-1345105256</v>
      </c>
    </row>
    <row r="90" spans="1:11">
      <c r="A90" s="7"/>
      <c r="B90" s="7"/>
      <c r="C90" s="8"/>
      <c r="D90" s="8"/>
      <c r="E90" s="9"/>
      <c r="F90" s="7"/>
      <c r="G90" s="7"/>
      <c r="H90" s="8"/>
      <c r="I90" s="8"/>
      <c r="J90" s="8"/>
      <c r="K90" s="9"/>
    </row>
    <row r="91" spans="1:11" ht="26.25">
      <c r="A91" s="57" t="s">
        <v>34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2.75">
      <c r="A92" s="2"/>
      <c r="B92" s="2"/>
      <c r="C92" s="2"/>
      <c r="D92" s="2"/>
      <c r="E92" s="1"/>
      <c r="F92" s="2"/>
      <c r="G92" s="2"/>
      <c r="H92" s="2"/>
      <c r="I92" s="2"/>
      <c r="J92" s="2"/>
      <c r="K92" s="12" t="s">
        <v>0</v>
      </c>
    </row>
    <row r="93" spans="1:11" ht="12.75">
      <c r="A93" s="74" t="s">
        <v>2</v>
      </c>
      <c r="B93" s="75"/>
      <c r="C93" s="78" t="s">
        <v>3</v>
      </c>
      <c r="D93" s="70"/>
      <c r="E93" s="79" t="s">
        <v>4</v>
      </c>
      <c r="F93" s="80" t="s">
        <v>5</v>
      </c>
      <c r="G93" s="81"/>
      <c r="H93" s="75"/>
      <c r="I93" s="83" t="s">
        <v>6</v>
      </c>
      <c r="J93" s="70"/>
      <c r="K93" s="84" t="s">
        <v>4</v>
      </c>
    </row>
    <row r="94" spans="1:11" ht="12.75">
      <c r="A94" s="76"/>
      <c r="B94" s="77"/>
      <c r="C94" s="5" t="s">
        <v>7</v>
      </c>
      <c r="D94" s="5" t="s">
        <v>8</v>
      </c>
      <c r="E94" s="77"/>
      <c r="F94" s="76"/>
      <c r="G94" s="82"/>
      <c r="H94" s="77"/>
      <c r="I94" s="5" t="s">
        <v>7</v>
      </c>
      <c r="J94" s="5" t="s">
        <v>8</v>
      </c>
      <c r="K94" s="77"/>
    </row>
    <row r="95" spans="1:11" ht="12.75">
      <c r="A95" s="14">
        <v>1</v>
      </c>
      <c r="B95" s="15" t="s">
        <v>21</v>
      </c>
      <c r="C95" s="6">
        <f ca="1">IFERROR(__xludf.DUMMYFUNCTION("importrange(""1lIwW56pLEGQ4aZILWf000qhdMveyNgnt1Q5R1h87EIs"",""'어린이집'!D95:D106"")"),266052000)</f>
        <v>266052000</v>
      </c>
      <c r="D95" s="21"/>
      <c r="E95" s="17">
        <f t="shared" ref="E95:E103" ca="1" si="50">D95-C95</f>
        <v>-266052000</v>
      </c>
      <c r="F95" s="66">
        <v>1</v>
      </c>
      <c r="G95" s="66" t="s">
        <v>11</v>
      </c>
      <c r="H95" s="14" t="s">
        <v>9</v>
      </c>
      <c r="I95" s="6">
        <f ca="1">IFERROR(__xludf.DUMMYFUNCTION("importrange(""1lIwW56pLEGQ4aZILWf000qhdMveyNgnt1Q5R1h87EIs"",""'어린이집'!J95:j106"")"),563545058)</f>
        <v>563545058</v>
      </c>
      <c r="J95" s="27"/>
      <c r="K95" s="18">
        <f t="shared" ref="K95:K97" ca="1" si="51">J95-I95</f>
        <v>-563545058</v>
      </c>
    </row>
    <row r="96" spans="1:11" ht="12.75">
      <c r="A96" s="14">
        <v>2</v>
      </c>
      <c r="B96" s="23" t="s">
        <v>22</v>
      </c>
      <c r="C96" s="21">
        <f ca="1">IFERROR(__xludf.DUMMYFUNCTION("""COMPUTED_VALUE"""),63022000)</f>
        <v>63022000</v>
      </c>
      <c r="D96" s="32"/>
      <c r="E96" s="17">
        <f t="shared" ca="1" si="50"/>
        <v>-63022000</v>
      </c>
      <c r="F96" s="67"/>
      <c r="G96" s="67"/>
      <c r="H96" s="34" t="s">
        <v>10</v>
      </c>
      <c r="I96" s="21">
        <f ca="1">IFERROR(__xludf.DUMMYFUNCTION("""COMPUTED_VALUE"""),9360000)</f>
        <v>9360000</v>
      </c>
      <c r="J96" s="28"/>
      <c r="K96" s="18">
        <f t="shared" ca="1" si="51"/>
        <v>-9360000</v>
      </c>
    </row>
    <row r="97" spans="1:11" ht="12.75">
      <c r="A97" s="14">
        <v>3</v>
      </c>
      <c r="B97" s="23" t="s">
        <v>23</v>
      </c>
      <c r="C97" s="21">
        <f ca="1">IFERROR(__xludf.DUMMYFUNCTION("""COMPUTED_VALUE"""),465794567)</f>
        <v>465794567</v>
      </c>
      <c r="D97" s="21"/>
      <c r="E97" s="17">
        <f t="shared" ca="1" si="50"/>
        <v>-465794567</v>
      </c>
      <c r="F97" s="67"/>
      <c r="G97" s="68"/>
      <c r="H97" s="35" t="s">
        <v>11</v>
      </c>
      <c r="I97" s="21">
        <f ca="1">IFERROR(__xludf.DUMMYFUNCTION("""COMPUTED_VALUE"""),55283364)</f>
        <v>55283364</v>
      </c>
      <c r="J97" s="28"/>
      <c r="K97" s="18">
        <f t="shared" ca="1" si="51"/>
        <v>-55283364</v>
      </c>
    </row>
    <row r="98" spans="1:11" ht="12.75">
      <c r="A98" s="14">
        <v>4</v>
      </c>
      <c r="B98" s="15" t="s">
        <v>13</v>
      </c>
      <c r="C98" s="21">
        <f ca="1">IFERROR(__xludf.DUMMYFUNCTION("""COMPUTED_VALUE"""),3160000)</f>
        <v>3160000</v>
      </c>
      <c r="D98" s="21"/>
      <c r="E98" s="17">
        <f t="shared" ca="1" si="50"/>
        <v>-3160000</v>
      </c>
      <c r="F98" s="68"/>
      <c r="G98" s="69" t="s">
        <v>16</v>
      </c>
      <c r="H98" s="70"/>
      <c r="I98" s="24">
        <f ca="1">IFERROR(__xludf.DUMMYFUNCTION("""COMPUTED_VALUE"""),628188422)</f>
        <v>628188422</v>
      </c>
      <c r="J98" s="30">
        <f t="shared" ref="J98:K98" si="52">SUM(J95:J97)</f>
        <v>0</v>
      </c>
      <c r="K98" s="25">
        <f t="shared" ca="1" si="52"/>
        <v>-628188422</v>
      </c>
    </row>
    <row r="99" spans="1:11" ht="12.75">
      <c r="A99" s="14">
        <v>5</v>
      </c>
      <c r="B99" s="15" t="s">
        <v>24</v>
      </c>
      <c r="C99" s="21">
        <f ca="1">IFERROR(__xludf.DUMMYFUNCTION("""COMPUTED_VALUE"""),0)</f>
        <v>0</v>
      </c>
      <c r="D99" s="21"/>
      <c r="E99" s="17">
        <f t="shared" ca="1" si="50"/>
        <v>0</v>
      </c>
      <c r="F99" s="14">
        <v>2</v>
      </c>
      <c r="G99" s="71" t="s">
        <v>25</v>
      </c>
      <c r="H99" s="70"/>
      <c r="I99" s="11">
        <f ca="1">IFERROR(__xludf.DUMMYFUNCTION("""COMPUTED_VALUE"""),112578380)</f>
        <v>112578380</v>
      </c>
      <c r="J99" s="27"/>
      <c r="K99" s="18">
        <f t="shared" ref="K99:K106" ca="1" si="53">J99-I99</f>
        <v>-112578380</v>
      </c>
    </row>
    <row r="100" spans="1:11" ht="12.75">
      <c r="A100" s="14">
        <v>6</v>
      </c>
      <c r="B100" s="15" t="s">
        <v>26</v>
      </c>
      <c r="C100" s="21">
        <f ca="1">IFERROR(__xludf.DUMMYFUNCTION("""COMPUTED_VALUE"""),0)</f>
        <v>0</v>
      </c>
      <c r="D100" s="21"/>
      <c r="E100" s="17">
        <f t="shared" ca="1" si="50"/>
        <v>0</v>
      </c>
      <c r="F100" s="14">
        <v>3</v>
      </c>
      <c r="G100" s="71" t="s">
        <v>27</v>
      </c>
      <c r="H100" s="70"/>
      <c r="I100" s="21">
        <f ca="1">IFERROR(__xludf.DUMMYFUNCTION("""COMPUTED_VALUE"""),63022000)</f>
        <v>63022000</v>
      </c>
      <c r="J100" s="28"/>
      <c r="K100" s="18">
        <f t="shared" ca="1" si="53"/>
        <v>-63022000</v>
      </c>
    </row>
    <row r="101" spans="1:11" ht="12.75">
      <c r="A101" s="14">
        <v>7</v>
      </c>
      <c r="B101" s="15" t="s">
        <v>15</v>
      </c>
      <c r="C101" s="21">
        <f ca="1">IFERROR(__xludf.DUMMYFUNCTION("""COMPUTED_VALUE"""),4101383)</f>
        <v>4101383</v>
      </c>
      <c r="D101" s="21"/>
      <c r="E101" s="17">
        <f t="shared" ca="1" si="50"/>
        <v>-4101383</v>
      </c>
      <c r="F101" s="14">
        <v>4</v>
      </c>
      <c r="G101" s="71" t="s">
        <v>26</v>
      </c>
      <c r="H101" s="70"/>
      <c r="I101" s="21">
        <f ca="1">IFERROR(__xludf.DUMMYFUNCTION("""COMPUTED_VALUE"""),0)</f>
        <v>0</v>
      </c>
      <c r="J101" s="28"/>
      <c r="K101" s="18">
        <f t="shared" ca="1" si="53"/>
        <v>0</v>
      </c>
    </row>
    <row r="102" spans="1:11" ht="12.75">
      <c r="A102" s="14">
        <v>8</v>
      </c>
      <c r="B102" s="15" t="s">
        <v>17</v>
      </c>
      <c r="C102" s="21">
        <f ca="1">IFERROR(__xludf.DUMMYFUNCTION("""COMPUTED_VALUE"""),2299347)</f>
        <v>2299347</v>
      </c>
      <c r="D102" s="21"/>
      <c r="E102" s="17">
        <f t="shared" ca="1" si="50"/>
        <v>-2299347</v>
      </c>
      <c r="F102" s="14">
        <v>5</v>
      </c>
      <c r="G102" s="71" t="s">
        <v>28</v>
      </c>
      <c r="H102" s="70"/>
      <c r="I102" s="21">
        <f ca="1">IFERROR(__xludf.DUMMYFUNCTION("""COMPUTED_VALUE"""),0)</f>
        <v>0</v>
      </c>
      <c r="J102" s="28"/>
      <c r="K102" s="18">
        <f t="shared" ca="1" si="53"/>
        <v>0</v>
      </c>
    </row>
    <row r="103" spans="1:11" ht="12.75">
      <c r="A103" s="14">
        <v>9</v>
      </c>
      <c r="B103" s="15" t="s">
        <v>29</v>
      </c>
      <c r="C103" s="21">
        <f ca="1">IFERROR(__xludf.DUMMYFUNCTION("""COMPUTED_VALUE"""),20816620)</f>
        <v>20816620</v>
      </c>
      <c r="D103" s="21"/>
      <c r="E103" s="17">
        <f t="shared" ca="1" si="50"/>
        <v>-20816620</v>
      </c>
      <c r="F103" s="14">
        <v>6</v>
      </c>
      <c r="G103" s="71" t="s">
        <v>12</v>
      </c>
      <c r="H103" s="70"/>
      <c r="I103" s="21">
        <f ca="1">IFERROR(__xludf.DUMMYFUNCTION("""COMPUTED_VALUE"""),15000000)</f>
        <v>15000000</v>
      </c>
      <c r="J103" s="28"/>
      <c r="K103" s="18">
        <f t="shared" ca="1" si="53"/>
        <v>-15000000</v>
      </c>
    </row>
    <row r="104" spans="1:11" ht="12.75">
      <c r="A104" s="71"/>
      <c r="B104" s="70"/>
      <c r="C104" s="16"/>
      <c r="D104" s="21"/>
      <c r="E104" s="17"/>
      <c r="F104" s="14">
        <v>7</v>
      </c>
      <c r="G104" s="71" t="s">
        <v>18</v>
      </c>
      <c r="H104" s="70"/>
      <c r="I104" s="21">
        <f ca="1">IFERROR(__xludf.DUMMYFUNCTION("""COMPUTED_VALUE"""),4204540)</f>
        <v>4204540</v>
      </c>
      <c r="J104" s="28"/>
      <c r="K104" s="18">
        <f t="shared" ca="1" si="53"/>
        <v>-4204540</v>
      </c>
    </row>
    <row r="105" spans="1:11" ht="12.75">
      <c r="A105" s="85"/>
      <c r="B105" s="70"/>
      <c r="C105" s="16"/>
      <c r="D105" s="16"/>
      <c r="E105" s="26"/>
      <c r="F105" s="14">
        <v>8</v>
      </c>
      <c r="G105" s="71" t="s">
        <v>14</v>
      </c>
      <c r="H105" s="70"/>
      <c r="I105" s="21">
        <f ca="1">IFERROR(__xludf.DUMMYFUNCTION("""COMPUTED_VALUE"""),158740)</f>
        <v>158740</v>
      </c>
      <c r="J105" s="28"/>
      <c r="K105" s="18">
        <f t="shared" ca="1" si="53"/>
        <v>-158740</v>
      </c>
    </row>
    <row r="106" spans="1:11" ht="12.75">
      <c r="A106" s="85"/>
      <c r="B106" s="70"/>
      <c r="C106" s="16"/>
      <c r="D106" s="16"/>
      <c r="E106" s="26"/>
      <c r="F106" s="14">
        <v>9</v>
      </c>
      <c r="G106" s="71" t="s">
        <v>19</v>
      </c>
      <c r="H106" s="70"/>
      <c r="I106" s="21">
        <f ca="1">IFERROR(__xludf.DUMMYFUNCTION("""COMPUTED_VALUE"""),2093835)</f>
        <v>2093835</v>
      </c>
      <c r="J106" s="28"/>
      <c r="K106" s="18">
        <f t="shared" ca="1" si="53"/>
        <v>-2093835</v>
      </c>
    </row>
    <row r="107" spans="1:11" ht="12.75">
      <c r="A107" s="69" t="s">
        <v>1</v>
      </c>
      <c r="B107" s="70"/>
      <c r="C107" s="19">
        <f t="shared" ref="C107:E107" ca="1" si="54">SUM(C95:C103)</f>
        <v>825245917</v>
      </c>
      <c r="D107" s="19">
        <f t="shared" si="54"/>
        <v>0</v>
      </c>
      <c r="E107" s="20">
        <f t="shared" ca="1" si="54"/>
        <v>-825245917</v>
      </c>
      <c r="F107" s="69" t="s">
        <v>1</v>
      </c>
      <c r="G107" s="72"/>
      <c r="H107" s="70"/>
      <c r="I107" s="19">
        <f t="shared" ref="I107:K107" ca="1" si="55">SUM(I98:I106)</f>
        <v>825245917</v>
      </c>
      <c r="J107" s="19">
        <f t="shared" si="55"/>
        <v>0</v>
      </c>
      <c r="K107" s="20">
        <f t="shared" ca="1" si="55"/>
        <v>-825245917</v>
      </c>
    </row>
    <row r="108" spans="1:11">
      <c r="A108" s="7"/>
      <c r="B108" s="7"/>
      <c r="C108" s="8"/>
      <c r="D108" s="8"/>
      <c r="E108" s="9"/>
      <c r="F108" s="7"/>
      <c r="G108" s="7"/>
      <c r="H108" s="8"/>
      <c r="I108" s="8"/>
      <c r="J108" s="8"/>
      <c r="K108" s="9"/>
    </row>
    <row r="109" spans="1:11" ht="26.25">
      <c r="A109" s="57" t="s">
        <v>35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</row>
    <row r="110" spans="1:11" ht="12.75">
      <c r="A110" s="2"/>
      <c r="B110" s="2"/>
      <c r="C110" s="2"/>
      <c r="D110" s="2"/>
      <c r="E110" s="1"/>
      <c r="F110" s="2"/>
      <c r="G110" s="2"/>
      <c r="H110" s="2"/>
      <c r="I110" s="2"/>
      <c r="J110" s="2"/>
      <c r="K110" s="12" t="s">
        <v>0</v>
      </c>
    </row>
    <row r="111" spans="1:11" ht="12.75">
      <c r="A111" s="74" t="s">
        <v>2</v>
      </c>
      <c r="B111" s="75"/>
      <c r="C111" s="78" t="s">
        <v>3</v>
      </c>
      <c r="D111" s="70"/>
      <c r="E111" s="79" t="s">
        <v>4</v>
      </c>
      <c r="F111" s="80" t="s">
        <v>5</v>
      </c>
      <c r="G111" s="81"/>
      <c r="H111" s="75"/>
      <c r="I111" s="83" t="s">
        <v>6</v>
      </c>
      <c r="J111" s="70"/>
      <c r="K111" s="84" t="s">
        <v>4</v>
      </c>
    </row>
    <row r="112" spans="1:11" ht="12.75">
      <c r="A112" s="76"/>
      <c r="B112" s="77"/>
      <c r="C112" s="5" t="s">
        <v>7</v>
      </c>
      <c r="D112" s="5" t="s">
        <v>8</v>
      </c>
      <c r="E112" s="77"/>
      <c r="F112" s="76"/>
      <c r="G112" s="82"/>
      <c r="H112" s="77"/>
      <c r="I112" s="5" t="s">
        <v>7</v>
      </c>
      <c r="J112" s="5" t="s">
        <v>8</v>
      </c>
      <c r="K112" s="77"/>
    </row>
    <row r="113" spans="1:11" ht="12.75">
      <c r="A113" s="14">
        <v>1</v>
      </c>
      <c r="B113" s="15" t="s">
        <v>21</v>
      </c>
      <c r="C113" s="6">
        <f ca="1">IFERROR(__xludf.DUMMYFUNCTION("importrange(""1lIwW56pLEGQ4aZILWf000qhdMveyNgnt1Q5R1h87EIs"",""'어린이집'!D113:D124"")"),170172000)</f>
        <v>170172000</v>
      </c>
      <c r="D113" s="21"/>
      <c r="E113" s="17">
        <f t="shared" ref="E113:E121" ca="1" si="56">D113-C113</f>
        <v>-170172000</v>
      </c>
      <c r="F113" s="66">
        <v>1</v>
      </c>
      <c r="G113" s="66" t="s">
        <v>11</v>
      </c>
      <c r="H113" s="14" t="s">
        <v>9</v>
      </c>
      <c r="I113" s="6">
        <f ca="1">IFERROR(__xludf.DUMMYFUNCTION("importrange(""1lIwW56pLEGQ4aZILWf000qhdMveyNgnt1Q5R1h87EIs"",""'어린이집'!J113:J124"")"),404585275)</f>
        <v>404585275</v>
      </c>
      <c r="J113" s="27"/>
      <c r="K113" s="18">
        <f t="shared" ref="K113:K115" ca="1" si="57">J113-I113</f>
        <v>-404585275</v>
      </c>
    </row>
    <row r="114" spans="1:11" ht="12.75">
      <c r="A114" s="14">
        <v>2</v>
      </c>
      <c r="B114" s="23" t="s">
        <v>22</v>
      </c>
      <c r="C114" s="21">
        <f ca="1">IFERROR(__xludf.DUMMYFUNCTION("""COMPUTED_VALUE"""),20986000)</f>
        <v>20986000</v>
      </c>
      <c r="D114" s="32"/>
      <c r="E114" s="17">
        <f t="shared" ca="1" si="56"/>
        <v>-20986000</v>
      </c>
      <c r="F114" s="67"/>
      <c r="G114" s="67"/>
      <c r="H114" s="14" t="s">
        <v>10</v>
      </c>
      <c r="I114" s="21">
        <f ca="1">IFERROR(__xludf.DUMMYFUNCTION("""COMPUTED_VALUE"""),5920000)</f>
        <v>5920000</v>
      </c>
      <c r="J114" s="28"/>
      <c r="K114" s="18">
        <f t="shared" ca="1" si="57"/>
        <v>-5920000</v>
      </c>
    </row>
    <row r="115" spans="1:11" ht="12.75">
      <c r="A115" s="14">
        <v>3</v>
      </c>
      <c r="B115" s="23" t="s">
        <v>23</v>
      </c>
      <c r="C115" s="21">
        <f ca="1">IFERROR(__xludf.DUMMYFUNCTION("""COMPUTED_VALUE"""),318734706)</f>
        <v>318734706</v>
      </c>
      <c r="D115" s="21"/>
      <c r="E115" s="17">
        <f t="shared" ca="1" si="56"/>
        <v>-318734706</v>
      </c>
      <c r="F115" s="67"/>
      <c r="G115" s="68"/>
      <c r="H115" s="14" t="s">
        <v>11</v>
      </c>
      <c r="I115" s="21">
        <f ca="1">IFERROR(__xludf.DUMMYFUNCTION("""COMPUTED_VALUE"""),29626000)</f>
        <v>29626000</v>
      </c>
      <c r="J115" s="28"/>
      <c r="K115" s="18">
        <f t="shared" ca="1" si="57"/>
        <v>-29626000</v>
      </c>
    </row>
    <row r="116" spans="1:11" ht="12.75">
      <c r="A116" s="14">
        <v>4</v>
      </c>
      <c r="B116" s="15" t="s">
        <v>13</v>
      </c>
      <c r="C116" s="21">
        <f ca="1">IFERROR(__xludf.DUMMYFUNCTION("""COMPUTED_VALUE"""),2000000)</f>
        <v>2000000</v>
      </c>
      <c r="D116" s="21"/>
      <c r="E116" s="17">
        <f t="shared" ca="1" si="56"/>
        <v>-2000000</v>
      </c>
      <c r="F116" s="68"/>
      <c r="G116" s="69" t="s">
        <v>16</v>
      </c>
      <c r="H116" s="70"/>
      <c r="I116" s="24">
        <f ca="1">IFERROR(__xludf.DUMMYFUNCTION("""COMPUTED_VALUE"""),440131275)</f>
        <v>440131275</v>
      </c>
      <c r="J116" s="30">
        <f t="shared" ref="J116:K116" si="58">SUM(J113:J115)</f>
        <v>0</v>
      </c>
      <c r="K116" s="25">
        <f t="shared" ca="1" si="58"/>
        <v>-440131275</v>
      </c>
    </row>
    <row r="117" spans="1:11" ht="12.75">
      <c r="A117" s="14">
        <v>5</v>
      </c>
      <c r="B117" s="15" t="s">
        <v>24</v>
      </c>
      <c r="C117" s="21">
        <f ca="1">IFERROR(__xludf.DUMMYFUNCTION("""COMPUTED_VALUE"""),0)</f>
        <v>0</v>
      </c>
      <c r="D117" s="21"/>
      <c r="E117" s="17">
        <f t="shared" ca="1" si="56"/>
        <v>0</v>
      </c>
      <c r="F117" s="14">
        <v>2</v>
      </c>
      <c r="G117" s="71" t="s">
        <v>25</v>
      </c>
      <c r="H117" s="70"/>
      <c r="I117" s="11">
        <f ca="1">IFERROR(__xludf.DUMMYFUNCTION("""COMPUTED_VALUE"""),64336720)</f>
        <v>64336720</v>
      </c>
      <c r="J117" s="27"/>
      <c r="K117" s="18">
        <f t="shared" ref="K117:K124" ca="1" si="59">J117-I117</f>
        <v>-64336720</v>
      </c>
    </row>
    <row r="118" spans="1:11" ht="12.75">
      <c r="A118" s="14">
        <v>6</v>
      </c>
      <c r="B118" s="15" t="s">
        <v>26</v>
      </c>
      <c r="C118" s="21">
        <f ca="1">IFERROR(__xludf.DUMMYFUNCTION("""COMPUTED_VALUE"""),750000)</f>
        <v>750000</v>
      </c>
      <c r="D118" s="21"/>
      <c r="E118" s="17">
        <f t="shared" ca="1" si="56"/>
        <v>-750000</v>
      </c>
      <c r="F118" s="14">
        <v>3</v>
      </c>
      <c r="G118" s="71" t="s">
        <v>27</v>
      </c>
      <c r="H118" s="70"/>
      <c r="I118" s="21">
        <f ca="1">IFERROR(__xludf.DUMMYFUNCTION("""COMPUTED_VALUE"""),20986000)</f>
        <v>20986000</v>
      </c>
      <c r="J118" s="28"/>
      <c r="K118" s="18">
        <f t="shared" ca="1" si="59"/>
        <v>-20986000</v>
      </c>
    </row>
    <row r="119" spans="1:11" ht="12.75">
      <c r="A119" s="14">
        <v>7</v>
      </c>
      <c r="B119" s="15" t="s">
        <v>15</v>
      </c>
      <c r="C119" s="21">
        <f ca="1">IFERROR(__xludf.DUMMYFUNCTION("""COMPUTED_VALUE"""),6028000)</f>
        <v>6028000</v>
      </c>
      <c r="D119" s="21"/>
      <c r="E119" s="17">
        <f t="shared" ca="1" si="56"/>
        <v>-6028000</v>
      </c>
      <c r="F119" s="14">
        <v>4</v>
      </c>
      <c r="G119" s="71" t="s">
        <v>26</v>
      </c>
      <c r="H119" s="70"/>
      <c r="I119" s="21">
        <f ca="1">IFERROR(__xludf.DUMMYFUNCTION("""COMPUTED_VALUE"""),0)</f>
        <v>0</v>
      </c>
      <c r="J119" s="28"/>
      <c r="K119" s="17">
        <f t="shared" ca="1" si="59"/>
        <v>0</v>
      </c>
    </row>
    <row r="120" spans="1:11" ht="12.75">
      <c r="A120" s="14">
        <v>8</v>
      </c>
      <c r="B120" s="15" t="s">
        <v>17</v>
      </c>
      <c r="C120" s="21">
        <f ca="1">IFERROR(__xludf.DUMMYFUNCTION("""COMPUTED_VALUE"""),2020000)</f>
        <v>2020000</v>
      </c>
      <c r="D120" s="21"/>
      <c r="E120" s="17">
        <f t="shared" ca="1" si="56"/>
        <v>-2020000</v>
      </c>
      <c r="F120" s="14">
        <v>5</v>
      </c>
      <c r="G120" s="71" t="s">
        <v>28</v>
      </c>
      <c r="H120" s="70"/>
      <c r="I120" s="21">
        <f ca="1">IFERROR(__xludf.DUMMYFUNCTION("""COMPUTED_VALUE"""),0)</f>
        <v>0</v>
      </c>
      <c r="J120" s="28"/>
      <c r="K120" s="17">
        <f t="shared" ca="1" si="59"/>
        <v>0</v>
      </c>
    </row>
    <row r="121" spans="1:11" ht="12.75">
      <c r="A121" s="14">
        <v>9</v>
      </c>
      <c r="B121" s="15" t="s">
        <v>29</v>
      </c>
      <c r="C121" s="21">
        <f ca="1">IFERROR(__xludf.DUMMYFUNCTION("""COMPUTED_VALUE"""),18000000)</f>
        <v>18000000</v>
      </c>
      <c r="D121" s="21"/>
      <c r="E121" s="17">
        <f t="shared" ca="1" si="56"/>
        <v>-18000000</v>
      </c>
      <c r="F121" s="14">
        <v>6</v>
      </c>
      <c r="G121" s="71" t="s">
        <v>12</v>
      </c>
      <c r="H121" s="70"/>
      <c r="I121" s="21">
        <f ca="1">IFERROR(__xludf.DUMMYFUNCTION("""COMPUTED_VALUE"""),6500000)</f>
        <v>6500000</v>
      </c>
      <c r="J121" s="28"/>
      <c r="K121" s="17">
        <f t="shared" ca="1" si="59"/>
        <v>-6500000</v>
      </c>
    </row>
    <row r="122" spans="1:11" ht="12.75">
      <c r="A122" s="71"/>
      <c r="B122" s="70"/>
      <c r="C122" s="16"/>
      <c r="D122" s="16"/>
      <c r="E122" s="17"/>
      <c r="F122" s="14">
        <v>7</v>
      </c>
      <c r="G122" s="71" t="s">
        <v>18</v>
      </c>
      <c r="H122" s="70"/>
      <c r="I122" s="21">
        <f ca="1">IFERROR(__xludf.DUMMYFUNCTION("""COMPUTED_VALUE"""),5500000)</f>
        <v>5500000</v>
      </c>
      <c r="J122" s="28"/>
      <c r="K122" s="17">
        <f t="shared" ca="1" si="59"/>
        <v>-5500000</v>
      </c>
    </row>
    <row r="123" spans="1:11" ht="12.75">
      <c r="A123" s="85"/>
      <c r="B123" s="70"/>
      <c r="C123" s="16"/>
      <c r="D123" s="16"/>
      <c r="E123" s="26"/>
      <c r="F123" s="14">
        <v>8</v>
      </c>
      <c r="G123" s="71" t="s">
        <v>14</v>
      </c>
      <c r="H123" s="70"/>
      <c r="I123" s="21">
        <f ca="1">IFERROR(__xludf.DUMMYFUNCTION("""COMPUTED_VALUE"""),150000)</f>
        <v>150000</v>
      </c>
      <c r="J123" s="28"/>
      <c r="K123" s="17">
        <f t="shared" ca="1" si="59"/>
        <v>-150000</v>
      </c>
    </row>
    <row r="124" spans="1:11" ht="12.75">
      <c r="A124" s="85"/>
      <c r="B124" s="70"/>
      <c r="C124" s="16"/>
      <c r="D124" s="16"/>
      <c r="E124" s="26"/>
      <c r="F124" s="14">
        <v>9</v>
      </c>
      <c r="G124" s="71" t="s">
        <v>19</v>
      </c>
      <c r="H124" s="70"/>
      <c r="I124" s="21">
        <f ca="1">IFERROR(__xludf.DUMMYFUNCTION("""COMPUTED_VALUE"""),1086711)</f>
        <v>1086711</v>
      </c>
      <c r="J124" s="28"/>
      <c r="K124" s="17">
        <f t="shared" ca="1" si="59"/>
        <v>-1086711</v>
      </c>
    </row>
    <row r="125" spans="1:11" ht="12.75">
      <c r="A125" s="69" t="s">
        <v>1</v>
      </c>
      <c r="B125" s="70"/>
      <c r="C125" s="19">
        <f t="shared" ref="C125:E125" ca="1" si="60">SUM(C113:C121)</f>
        <v>538690706</v>
      </c>
      <c r="D125" s="19">
        <f t="shared" si="60"/>
        <v>0</v>
      </c>
      <c r="E125" s="20">
        <f t="shared" ca="1" si="60"/>
        <v>-538690706</v>
      </c>
      <c r="F125" s="69" t="s">
        <v>1</v>
      </c>
      <c r="G125" s="72"/>
      <c r="H125" s="70"/>
      <c r="I125" s="19">
        <f t="shared" ref="I125:K125" ca="1" si="61">SUM(I116:I124)</f>
        <v>538690706</v>
      </c>
      <c r="J125" s="19">
        <f t="shared" si="61"/>
        <v>0</v>
      </c>
      <c r="K125" s="20">
        <f t="shared" ca="1" si="61"/>
        <v>-538690706</v>
      </c>
    </row>
    <row r="126" spans="1:11">
      <c r="A126" s="7"/>
      <c r="B126" s="7"/>
      <c r="C126" s="8"/>
      <c r="D126" s="8"/>
      <c r="E126" s="9"/>
      <c r="F126" s="7"/>
      <c r="G126" s="7"/>
      <c r="H126" s="8"/>
      <c r="I126" s="8"/>
      <c r="J126" s="8"/>
      <c r="K126" s="9"/>
    </row>
    <row r="127" spans="1:11" ht="26.25">
      <c r="A127" s="57" t="s">
        <v>36</v>
      </c>
      <c r="B127" s="73"/>
      <c r="C127" s="73"/>
      <c r="D127" s="73"/>
      <c r="E127" s="73"/>
      <c r="F127" s="73"/>
      <c r="G127" s="73"/>
      <c r="H127" s="73"/>
      <c r="I127" s="73"/>
      <c r="J127" s="73"/>
      <c r="K127" s="73"/>
    </row>
    <row r="128" spans="1:11" ht="12.75">
      <c r="A128" s="2"/>
      <c r="B128" s="2"/>
      <c r="C128" s="2"/>
      <c r="D128" s="2"/>
      <c r="E128" s="1"/>
      <c r="F128" s="2"/>
      <c r="G128" s="2"/>
      <c r="H128" s="2"/>
      <c r="I128" s="2"/>
      <c r="J128" s="2"/>
      <c r="K128" s="12" t="s">
        <v>0</v>
      </c>
    </row>
    <row r="129" spans="1:11" ht="12.75">
      <c r="A129" s="74" t="s">
        <v>2</v>
      </c>
      <c r="B129" s="75"/>
      <c r="C129" s="78" t="s">
        <v>3</v>
      </c>
      <c r="D129" s="70"/>
      <c r="E129" s="79" t="s">
        <v>4</v>
      </c>
      <c r="F129" s="80" t="s">
        <v>5</v>
      </c>
      <c r="G129" s="81"/>
      <c r="H129" s="75"/>
      <c r="I129" s="83" t="s">
        <v>6</v>
      </c>
      <c r="J129" s="70"/>
      <c r="K129" s="84" t="s">
        <v>4</v>
      </c>
    </row>
    <row r="130" spans="1:11" ht="12.75">
      <c r="A130" s="76"/>
      <c r="B130" s="77"/>
      <c r="C130" s="5" t="s">
        <v>37</v>
      </c>
      <c r="D130" s="5" t="s">
        <v>38</v>
      </c>
      <c r="E130" s="77"/>
      <c r="F130" s="76"/>
      <c r="G130" s="82"/>
      <c r="H130" s="77"/>
      <c r="I130" s="5" t="s">
        <v>37</v>
      </c>
      <c r="J130" s="5" t="s">
        <v>38</v>
      </c>
      <c r="K130" s="77"/>
    </row>
    <row r="131" spans="1:11" ht="12.75">
      <c r="A131" s="14">
        <v>1</v>
      </c>
      <c r="B131" s="15" t="s">
        <v>21</v>
      </c>
      <c r="C131" s="6">
        <f ca="1">IFERROR(__xludf.DUMMYFUNCTION("importrange(""1lIwW56pLEGQ4aZILWf000qhdMveyNgnt1Q5R1h87EIs"",""'어린이집'!D131:D142"")"),148416000)</f>
        <v>148416000</v>
      </c>
      <c r="D131" s="21"/>
      <c r="E131" s="17">
        <f t="shared" ref="E131:E139" ca="1" si="62">D131-C131</f>
        <v>-148416000</v>
      </c>
      <c r="F131" s="66">
        <v>1</v>
      </c>
      <c r="G131" s="66" t="s">
        <v>11</v>
      </c>
      <c r="H131" s="14" t="s">
        <v>9</v>
      </c>
      <c r="I131" s="6">
        <f ca="1">IFERROR(__xludf.DUMMYFUNCTION("importrange(""1lIwW56pLEGQ4aZILWf000qhdMveyNgnt1Q5R1h87EIs"",""'어린이집'!J131:J142"")"),354230420)</f>
        <v>354230420</v>
      </c>
      <c r="J131" s="27"/>
      <c r="K131" s="18">
        <f t="shared" ref="K131:K133" ca="1" si="63">J131-I131</f>
        <v>-354230420</v>
      </c>
    </row>
    <row r="132" spans="1:11" ht="12.75">
      <c r="A132" s="14">
        <v>2</v>
      </c>
      <c r="B132" s="23" t="s">
        <v>22</v>
      </c>
      <c r="C132" s="21">
        <f ca="1">IFERROR(__xludf.DUMMYFUNCTION("""COMPUTED_VALUE"""),25750000)</f>
        <v>25750000</v>
      </c>
      <c r="D132" s="32"/>
      <c r="E132" s="17">
        <f t="shared" ca="1" si="62"/>
        <v>-25750000</v>
      </c>
      <c r="F132" s="67"/>
      <c r="G132" s="67"/>
      <c r="H132" s="14" t="s">
        <v>10</v>
      </c>
      <c r="I132" s="21">
        <f ca="1">IFERROR(__xludf.DUMMYFUNCTION("""COMPUTED_VALUE"""),5870000)</f>
        <v>5870000</v>
      </c>
      <c r="J132" s="28"/>
      <c r="K132" s="18">
        <f t="shared" ca="1" si="63"/>
        <v>-5870000</v>
      </c>
    </row>
    <row r="133" spans="1:11" ht="12.75">
      <c r="A133" s="14">
        <v>3</v>
      </c>
      <c r="B133" s="23" t="s">
        <v>23</v>
      </c>
      <c r="C133" s="21">
        <f ca="1">IFERROR(__xludf.DUMMYFUNCTION("""COMPUTED_VALUE"""),317090200)</f>
        <v>317090200</v>
      </c>
      <c r="D133" s="21"/>
      <c r="E133" s="17">
        <f t="shared" ca="1" si="62"/>
        <v>-317090200</v>
      </c>
      <c r="F133" s="67"/>
      <c r="G133" s="68"/>
      <c r="H133" s="14" t="s">
        <v>11</v>
      </c>
      <c r="I133" s="21">
        <f ca="1">IFERROR(__xludf.DUMMYFUNCTION("""COMPUTED_VALUE"""),26385800)</f>
        <v>26385800</v>
      </c>
      <c r="J133" s="28"/>
      <c r="K133" s="18">
        <f t="shared" ca="1" si="63"/>
        <v>-26385800</v>
      </c>
    </row>
    <row r="134" spans="1:11" ht="12.75">
      <c r="A134" s="14">
        <v>4</v>
      </c>
      <c r="B134" s="15" t="s">
        <v>13</v>
      </c>
      <c r="C134" s="21">
        <f ca="1">IFERROR(__xludf.DUMMYFUNCTION("""COMPUTED_VALUE"""),1000000)</f>
        <v>1000000</v>
      </c>
      <c r="D134" s="21"/>
      <c r="E134" s="17">
        <f t="shared" ca="1" si="62"/>
        <v>-1000000</v>
      </c>
      <c r="F134" s="68"/>
      <c r="G134" s="69" t="s">
        <v>16</v>
      </c>
      <c r="H134" s="70"/>
      <c r="I134" s="24">
        <f ca="1">IFERROR(__xludf.DUMMYFUNCTION("""COMPUTED_VALUE"""),386486220)</f>
        <v>386486220</v>
      </c>
      <c r="J134" s="30">
        <f t="shared" ref="J134:K134" si="64">SUM(J131:J133)</f>
        <v>0</v>
      </c>
      <c r="K134" s="25">
        <f t="shared" ca="1" si="64"/>
        <v>-386486220</v>
      </c>
    </row>
    <row r="135" spans="1:11" ht="12.75">
      <c r="A135" s="14">
        <v>5</v>
      </c>
      <c r="B135" s="15" t="s">
        <v>24</v>
      </c>
      <c r="C135" s="36">
        <f ca="1">IFERROR(__xludf.DUMMYFUNCTION("""COMPUTED_VALUE"""),0)</f>
        <v>0</v>
      </c>
      <c r="D135" s="21"/>
      <c r="E135" s="17">
        <f t="shared" ca="1" si="62"/>
        <v>0</v>
      </c>
      <c r="F135" s="14">
        <v>2</v>
      </c>
      <c r="G135" s="71" t="s">
        <v>25</v>
      </c>
      <c r="H135" s="70"/>
      <c r="I135" s="11">
        <f ca="1">IFERROR(__xludf.DUMMYFUNCTION("""COMPUTED_VALUE"""),66038480)</f>
        <v>66038480</v>
      </c>
      <c r="J135" s="27"/>
      <c r="K135" s="18">
        <f t="shared" ref="K135:K142" ca="1" si="65">J135-I135</f>
        <v>-66038480</v>
      </c>
    </row>
    <row r="136" spans="1:11" ht="12.75">
      <c r="A136" s="14">
        <v>6</v>
      </c>
      <c r="B136" s="15" t="s">
        <v>26</v>
      </c>
      <c r="C136" s="21">
        <f ca="1">IFERROR(__xludf.DUMMYFUNCTION("""COMPUTED_VALUE"""),0)</f>
        <v>0</v>
      </c>
      <c r="D136" s="21"/>
      <c r="E136" s="17">
        <f t="shared" ca="1" si="62"/>
        <v>0</v>
      </c>
      <c r="F136" s="14">
        <v>3</v>
      </c>
      <c r="G136" s="71" t="s">
        <v>27</v>
      </c>
      <c r="H136" s="70"/>
      <c r="I136" s="21">
        <f ca="1">IFERROR(__xludf.DUMMYFUNCTION("""COMPUTED_VALUE"""),25750000)</f>
        <v>25750000</v>
      </c>
      <c r="J136" s="28"/>
      <c r="K136" s="18">
        <f t="shared" ca="1" si="65"/>
        <v>-25750000</v>
      </c>
    </row>
    <row r="137" spans="1:11" ht="12.75">
      <c r="A137" s="14">
        <v>7</v>
      </c>
      <c r="B137" s="15" t="s">
        <v>15</v>
      </c>
      <c r="C137" s="21">
        <f ca="1">IFERROR(__xludf.DUMMYFUNCTION("""COMPUTED_VALUE"""),151500)</f>
        <v>151500</v>
      </c>
      <c r="D137" s="21"/>
      <c r="E137" s="17">
        <f t="shared" ca="1" si="62"/>
        <v>-151500</v>
      </c>
      <c r="F137" s="14">
        <v>4</v>
      </c>
      <c r="G137" s="71" t="s">
        <v>26</v>
      </c>
      <c r="H137" s="70"/>
      <c r="I137" s="21">
        <f ca="1">IFERROR(__xludf.DUMMYFUNCTION("""COMPUTED_VALUE"""),0)</f>
        <v>0</v>
      </c>
      <c r="J137" s="28"/>
      <c r="K137" s="18">
        <f t="shared" ca="1" si="65"/>
        <v>0</v>
      </c>
    </row>
    <row r="138" spans="1:11" ht="12.75">
      <c r="A138" s="14">
        <v>8</v>
      </c>
      <c r="B138" s="15" t="s">
        <v>17</v>
      </c>
      <c r="C138" s="21">
        <f ca="1">IFERROR(__xludf.DUMMYFUNCTION("""COMPUTED_VALUE"""),4214000)</f>
        <v>4214000</v>
      </c>
      <c r="D138" s="21"/>
      <c r="E138" s="17">
        <f t="shared" ca="1" si="62"/>
        <v>-4214000</v>
      </c>
      <c r="F138" s="14">
        <v>5</v>
      </c>
      <c r="G138" s="71" t="s">
        <v>28</v>
      </c>
      <c r="H138" s="70"/>
      <c r="I138" s="21">
        <f ca="1">IFERROR(__xludf.DUMMYFUNCTION("""COMPUTED_VALUE"""),0)</f>
        <v>0</v>
      </c>
      <c r="J138" s="28"/>
      <c r="K138" s="18">
        <f t="shared" ca="1" si="65"/>
        <v>0</v>
      </c>
    </row>
    <row r="139" spans="1:11" ht="12.75">
      <c r="A139" s="14">
        <v>9</v>
      </c>
      <c r="B139" s="15" t="s">
        <v>29</v>
      </c>
      <c r="C139" s="21">
        <f ca="1">IFERROR(__xludf.DUMMYFUNCTION("""COMPUTED_VALUE"""),2500000)</f>
        <v>2500000</v>
      </c>
      <c r="D139" s="21"/>
      <c r="E139" s="17">
        <f t="shared" ca="1" si="62"/>
        <v>-2500000</v>
      </c>
      <c r="F139" s="14">
        <v>6</v>
      </c>
      <c r="G139" s="71" t="s">
        <v>12</v>
      </c>
      <c r="H139" s="70"/>
      <c r="I139" s="21">
        <f ca="1">IFERROR(__xludf.DUMMYFUNCTION("""COMPUTED_VALUE"""),15496000)</f>
        <v>15496000</v>
      </c>
      <c r="J139" s="28"/>
      <c r="K139" s="18">
        <f t="shared" ca="1" si="65"/>
        <v>-15496000</v>
      </c>
    </row>
    <row r="140" spans="1:11" ht="12.75">
      <c r="A140" s="71"/>
      <c r="B140" s="70"/>
      <c r="C140" s="16"/>
      <c r="D140" s="16"/>
      <c r="E140" s="17"/>
      <c r="F140" s="14">
        <v>7</v>
      </c>
      <c r="G140" s="71" t="s">
        <v>18</v>
      </c>
      <c r="H140" s="70"/>
      <c r="I140" s="21">
        <f ca="1">IFERROR(__xludf.DUMMYFUNCTION("""COMPUTED_VALUE"""),0)</f>
        <v>0</v>
      </c>
      <c r="J140" s="28"/>
      <c r="K140" s="18">
        <f t="shared" ca="1" si="65"/>
        <v>0</v>
      </c>
    </row>
    <row r="141" spans="1:11" ht="12.75">
      <c r="A141" s="85"/>
      <c r="B141" s="70"/>
      <c r="C141" s="16"/>
      <c r="D141" s="16"/>
      <c r="E141" s="26"/>
      <c r="F141" s="14">
        <v>8</v>
      </c>
      <c r="G141" s="71" t="s">
        <v>14</v>
      </c>
      <c r="H141" s="70"/>
      <c r="I141" s="21">
        <f ca="1">IFERROR(__xludf.DUMMYFUNCTION("""COMPUTED_VALUE"""),351000)</f>
        <v>351000</v>
      </c>
      <c r="J141" s="28"/>
      <c r="K141" s="18">
        <f t="shared" ca="1" si="65"/>
        <v>-351000</v>
      </c>
    </row>
    <row r="142" spans="1:11" ht="12.75">
      <c r="A142" s="85"/>
      <c r="B142" s="70"/>
      <c r="C142" s="16"/>
      <c r="D142" s="16"/>
      <c r="E142" s="26"/>
      <c r="F142" s="14">
        <v>9</v>
      </c>
      <c r="G142" s="71" t="s">
        <v>19</v>
      </c>
      <c r="H142" s="70"/>
      <c r="I142" s="21">
        <f ca="1">IFERROR(__xludf.DUMMYFUNCTION("""COMPUTED_VALUE"""),5000000)</f>
        <v>5000000</v>
      </c>
      <c r="J142" s="28"/>
      <c r="K142" s="18">
        <f t="shared" ca="1" si="65"/>
        <v>-5000000</v>
      </c>
    </row>
    <row r="143" spans="1:11" ht="12.75">
      <c r="A143" s="69" t="s">
        <v>1</v>
      </c>
      <c r="B143" s="70"/>
      <c r="C143" s="19">
        <f t="shared" ref="C143:E143" ca="1" si="66">SUM(C131:C139)</f>
        <v>499121700</v>
      </c>
      <c r="D143" s="19">
        <f t="shared" si="66"/>
        <v>0</v>
      </c>
      <c r="E143" s="20">
        <f t="shared" ca="1" si="66"/>
        <v>-499121700</v>
      </c>
      <c r="F143" s="69" t="s">
        <v>1</v>
      </c>
      <c r="G143" s="72"/>
      <c r="H143" s="70"/>
      <c r="I143" s="19">
        <f t="shared" ref="I143:K143" ca="1" si="67">SUM(I134:I142)</f>
        <v>499121700</v>
      </c>
      <c r="J143" s="19">
        <f t="shared" si="67"/>
        <v>0</v>
      </c>
      <c r="K143" s="20">
        <f t="shared" ca="1" si="67"/>
        <v>-499121700</v>
      </c>
    </row>
    <row r="144" spans="1:11">
      <c r="A144" s="7"/>
      <c r="B144" s="7"/>
      <c r="C144" s="8"/>
      <c r="D144" s="8"/>
      <c r="E144" s="9"/>
      <c r="F144" s="7"/>
      <c r="G144" s="7"/>
      <c r="H144" s="8"/>
      <c r="I144" s="8"/>
      <c r="J144" s="8"/>
      <c r="K144" s="9"/>
    </row>
    <row r="145" spans="1:11" ht="26.25">
      <c r="A145" s="57" t="s">
        <v>39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</row>
    <row r="146" spans="1:11" ht="12.75">
      <c r="A146" s="2"/>
      <c r="B146" s="2"/>
      <c r="C146" s="2"/>
      <c r="D146" s="2"/>
      <c r="E146" s="1"/>
      <c r="F146" s="2"/>
      <c r="G146" s="2"/>
      <c r="H146" s="2"/>
      <c r="I146" s="2"/>
      <c r="J146" s="2"/>
      <c r="K146" s="12" t="s">
        <v>0</v>
      </c>
    </row>
    <row r="147" spans="1:11" ht="12.75">
      <c r="A147" s="74" t="s">
        <v>2</v>
      </c>
      <c r="B147" s="75"/>
      <c r="C147" s="78" t="s">
        <v>3</v>
      </c>
      <c r="D147" s="70"/>
      <c r="E147" s="79" t="s">
        <v>4</v>
      </c>
      <c r="F147" s="80" t="s">
        <v>5</v>
      </c>
      <c r="G147" s="81"/>
      <c r="H147" s="75"/>
      <c r="I147" s="83" t="s">
        <v>6</v>
      </c>
      <c r="J147" s="70"/>
      <c r="K147" s="84" t="s">
        <v>4</v>
      </c>
    </row>
    <row r="148" spans="1:11" ht="12.75">
      <c r="A148" s="76"/>
      <c r="B148" s="77"/>
      <c r="C148" s="5" t="s">
        <v>7</v>
      </c>
      <c r="D148" s="5" t="s">
        <v>8</v>
      </c>
      <c r="E148" s="77"/>
      <c r="F148" s="76"/>
      <c r="G148" s="82"/>
      <c r="H148" s="77"/>
      <c r="I148" s="5" t="s">
        <v>7</v>
      </c>
      <c r="J148" s="5" t="s">
        <v>8</v>
      </c>
      <c r="K148" s="77"/>
    </row>
    <row r="149" spans="1:11" ht="12.75">
      <c r="A149" s="14">
        <v>1</v>
      </c>
      <c r="B149" s="15" t="s">
        <v>21</v>
      </c>
      <c r="C149" s="6">
        <f ca="1">IFERROR(__xludf.DUMMYFUNCTION("importrange(""1lIwW56pLEGQ4aZILWf000qhdMveyNgnt1Q5R1h87EIs"",""'어린이집'!D149:D160"")"),308963000)</f>
        <v>308963000</v>
      </c>
      <c r="D149" s="21"/>
      <c r="E149" s="17">
        <f t="shared" ref="E149:E157" ca="1" si="68">D149-C149</f>
        <v>-308963000</v>
      </c>
      <c r="F149" s="66">
        <v>1</v>
      </c>
      <c r="G149" s="66" t="s">
        <v>11</v>
      </c>
      <c r="H149" s="14" t="s">
        <v>9</v>
      </c>
      <c r="I149" s="6">
        <f ca="1">IFERROR(__xludf.DUMMYFUNCTION("importrange(""1lIwW56pLEGQ4aZILWf000qhdMveyNgnt1Q5R1h87EIs"",""'어린이집'!J149:J160"")"),513340799)</f>
        <v>513340799</v>
      </c>
      <c r="J149" s="27"/>
      <c r="K149" s="18">
        <f t="shared" ref="K149:K151" ca="1" si="69">J149-I149</f>
        <v>-513340799</v>
      </c>
    </row>
    <row r="150" spans="1:11" ht="12.75">
      <c r="A150" s="14">
        <v>2</v>
      </c>
      <c r="B150" s="23" t="s">
        <v>22</v>
      </c>
      <c r="C150" s="37">
        <f ca="1">IFERROR(__xludf.DUMMYFUNCTION("""COMPUTED_VALUE"""),113882000)</f>
        <v>113882000</v>
      </c>
      <c r="D150" s="32"/>
      <c r="E150" s="17">
        <f t="shared" ca="1" si="68"/>
        <v>-113882000</v>
      </c>
      <c r="F150" s="67"/>
      <c r="G150" s="67"/>
      <c r="H150" s="14" t="s">
        <v>10</v>
      </c>
      <c r="I150" s="21">
        <f ca="1">IFERROR(__xludf.DUMMYFUNCTION("""COMPUTED_VALUE"""),10177227)</f>
        <v>10177227</v>
      </c>
      <c r="J150" s="28"/>
      <c r="K150" s="18">
        <f t="shared" ca="1" si="69"/>
        <v>-10177227</v>
      </c>
    </row>
    <row r="151" spans="1:11" ht="12.75">
      <c r="A151" s="14">
        <v>3</v>
      </c>
      <c r="B151" s="23" t="s">
        <v>23</v>
      </c>
      <c r="C151" s="37">
        <f ca="1">IFERROR(__xludf.DUMMYFUNCTION("""COMPUTED_VALUE"""),394659176)</f>
        <v>394659176</v>
      </c>
      <c r="D151" s="21"/>
      <c r="E151" s="17">
        <f t="shared" ca="1" si="68"/>
        <v>-394659176</v>
      </c>
      <c r="F151" s="67"/>
      <c r="G151" s="68"/>
      <c r="H151" s="14" t="s">
        <v>11</v>
      </c>
      <c r="I151" s="21">
        <f ca="1">IFERROR(__xludf.DUMMYFUNCTION("""COMPUTED_VALUE"""),91713780)</f>
        <v>91713780</v>
      </c>
      <c r="J151" s="28"/>
      <c r="K151" s="18">
        <f t="shared" ca="1" si="69"/>
        <v>-91713780</v>
      </c>
    </row>
    <row r="152" spans="1:11" ht="12.75">
      <c r="A152" s="14">
        <v>4</v>
      </c>
      <c r="B152" s="15" t="s">
        <v>13</v>
      </c>
      <c r="C152" s="37">
        <f ca="1">IFERROR(__xludf.DUMMYFUNCTION("""COMPUTED_VALUE"""),3562500)</f>
        <v>3562500</v>
      </c>
      <c r="D152" s="21"/>
      <c r="E152" s="17">
        <f t="shared" ca="1" si="68"/>
        <v>-3562500</v>
      </c>
      <c r="F152" s="68"/>
      <c r="G152" s="69" t="s">
        <v>16</v>
      </c>
      <c r="H152" s="70"/>
      <c r="I152" s="24">
        <f ca="1">IFERROR(__xludf.DUMMYFUNCTION("""COMPUTED_VALUE"""),615231806)</f>
        <v>615231806</v>
      </c>
      <c r="J152" s="30">
        <f t="shared" ref="J152:K152" si="70">SUM(J149:J151)</f>
        <v>0</v>
      </c>
      <c r="K152" s="25">
        <f t="shared" ca="1" si="70"/>
        <v>-615231806</v>
      </c>
    </row>
    <row r="153" spans="1:11" ht="12.75">
      <c r="A153" s="14">
        <v>5</v>
      </c>
      <c r="B153" s="15" t="s">
        <v>24</v>
      </c>
      <c r="C153" s="37">
        <f ca="1">IFERROR(__xludf.DUMMYFUNCTION("""COMPUTED_VALUE"""),200000)</f>
        <v>200000</v>
      </c>
      <c r="D153" s="21"/>
      <c r="E153" s="17">
        <f t="shared" ca="1" si="68"/>
        <v>-200000</v>
      </c>
      <c r="F153" s="14">
        <v>2</v>
      </c>
      <c r="G153" s="71" t="s">
        <v>25</v>
      </c>
      <c r="H153" s="70"/>
      <c r="I153" s="11">
        <f ca="1">IFERROR(__xludf.DUMMYFUNCTION("""COMPUTED_VALUE"""),87002054)</f>
        <v>87002054</v>
      </c>
      <c r="J153" s="27"/>
      <c r="K153" s="18">
        <f t="shared" ref="K153:K160" ca="1" si="71">J153-I153</f>
        <v>-87002054</v>
      </c>
    </row>
    <row r="154" spans="1:11" ht="12.75">
      <c r="A154" s="14">
        <v>6</v>
      </c>
      <c r="B154" s="15" t="s">
        <v>26</v>
      </c>
      <c r="C154" s="37">
        <f ca="1">IFERROR(__xludf.DUMMYFUNCTION("""COMPUTED_VALUE"""),1734988)</f>
        <v>1734988</v>
      </c>
      <c r="D154" s="21"/>
      <c r="E154" s="17">
        <f t="shared" ca="1" si="68"/>
        <v>-1734988</v>
      </c>
      <c r="F154" s="14">
        <v>3</v>
      </c>
      <c r="G154" s="71" t="s">
        <v>27</v>
      </c>
      <c r="H154" s="70"/>
      <c r="I154" s="21">
        <f ca="1">IFERROR(__xludf.DUMMYFUNCTION("""COMPUTED_VALUE"""),113882000)</f>
        <v>113882000</v>
      </c>
      <c r="J154" s="28"/>
      <c r="K154" s="18">
        <f t="shared" ca="1" si="71"/>
        <v>-113882000</v>
      </c>
    </row>
    <row r="155" spans="1:11" ht="12.75">
      <c r="A155" s="14">
        <v>7</v>
      </c>
      <c r="B155" s="15" t="s">
        <v>15</v>
      </c>
      <c r="C155" s="37">
        <f ca="1">IFERROR(__xludf.DUMMYFUNCTION("""COMPUTED_VALUE"""),1905349)</f>
        <v>1905349</v>
      </c>
      <c r="D155" s="21"/>
      <c r="E155" s="17">
        <f t="shared" ca="1" si="68"/>
        <v>-1905349</v>
      </c>
      <c r="F155" s="14">
        <v>4</v>
      </c>
      <c r="G155" s="71" t="s">
        <v>26</v>
      </c>
      <c r="H155" s="70"/>
      <c r="I155" s="21">
        <f ca="1">IFERROR(__xludf.DUMMYFUNCTION("""COMPUTED_VALUE"""),0)</f>
        <v>0</v>
      </c>
      <c r="J155" s="28"/>
      <c r="K155" s="17">
        <f t="shared" ca="1" si="71"/>
        <v>0</v>
      </c>
    </row>
    <row r="156" spans="1:11" ht="12.75">
      <c r="A156" s="14">
        <v>8</v>
      </c>
      <c r="B156" s="15" t="s">
        <v>17</v>
      </c>
      <c r="C156" s="37">
        <f ca="1">IFERROR(__xludf.DUMMYFUNCTION("""COMPUTED_VALUE"""),18785955)</f>
        <v>18785955</v>
      </c>
      <c r="D156" s="21"/>
      <c r="E156" s="17">
        <f t="shared" ca="1" si="68"/>
        <v>-18785955</v>
      </c>
      <c r="F156" s="14">
        <v>5</v>
      </c>
      <c r="G156" s="71" t="s">
        <v>28</v>
      </c>
      <c r="H156" s="70"/>
      <c r="I156" s="21">
        <f ca="1">IFERROR(__xludf.DUMMYFUNCTION("""COMPUTED_VALUE"""),2348460)</f>
        <v>2348460</v>
      </c>
      <c r="J156" s="28"/>
      <c r="K156" s="17">
        <f t="shared" ca="1" si="71"/>
        <v>-2348460</v>
      </c>
    </row>
    <row r="157" spans="1:11" ht="12.75">
      <c r="A157" s="14">
        <v>9</v>
      </c>
      <c r="B157" s="15" t="s">
        <v>29</v>
      </c>
      <c r="C157" s="37">
        <f ca="1">IFERROR(__xludf.DUMMYFUNCTION("""COMPUTED_VALUE"""),6823687)</f>
        <v>6823687</v>
      </c>
      <c r="D157" s="21"/>
      <c r="E157" s="17">
        <f t="shared" ca="1" si="68"/>
        <v>-6823687</v>
      </c>
      <c r="F157" s="14">
        <v>6</v>
      </c>
      <c r="G157" s="71" t="s">
        <v>12</v>
      </c>
      <c r="H157" s="70"/>
      <c r="I157" s="21">
        <f ca="1">IFERROR(__xludf.DUMMYFUNCTION("""COMPUTED_VALUE"""),20385315)</f>
        <v>20385315</v>
      </c>
      <c r="J157" s="28"/>
      <c r="K157" s="17">
        <f t="shared" ca="1" si="71"/>
        <v>-20385315</v>
      </c>
    </row>
    <row r="158" spans="1:11" ht="12.75">
      <c r="A158" s="71"/>
      <c r="B158" s="70"/>
      <c r="C158" s="16"/>
      <c r="D158" s="38"/>
      <c r="E158" s="17"/>
      <c r="F158" s="14">
        <v>7</v>
      </c>
      <c r="G158" s="71" t="s">
        <v>18</v>
      </c>
      <c r="H158" s="70"/>
      <c r="I158" s="21">
        <f ca="1">IFERROR(__xludf.DUMMYFUNCTION("""COMPUTED_VALUE"""),0)</f>
        <v>0</v>
      </c>
      <c r="J158" s="28"/>
      <c r="K158" s="17">
        <f t="shared" ca="1" si="71"/>
        <v>0</v>
      </c>
    </row>
    <row r="159" spans="1:11" ht="12.75">
      <c r="A159" s="85"/>
      <c r="B159" s="70"/>
      <c r="C159" s="16"/>
      <c r="D159" s="16"/>
      <c r="E159" s="26"/>
      <c r="F159" s="14">
        <v>8</v>
      </c>
      <c r="G159" s="71" t="s">
        <v>14</v>
      </c>
      <c r="H159" s="70"/>
      <c r="I159" s="21">
        <f ca="1">IFERROR(__xludf.DUMMYFUNCTION("""COMPUTED_VALUE"""),10067020)</f>
        <v>10067020</v>
      </c>
      <c r="J159" s="28"/>
      <c r="K159" s="17">
        <f t="shared" ca="1" si="71"/>
        <v>-10067020</v>
      </c>
    </row>
    <row r="160" spans="1:11" ht="12.75">
      <c r="A160" s="85"/>
      <c r="B160" s="70"/>
      <c r="C160" s="16"/>
      <c r="D160" s="16"/>
      <c r="E160" s="26"/>
      <c r="F160" s="14">
        <v>9</v>
      </c>
      <c r="G160" s="71" t="s">
        <v>19</v>
      </c>
      <c r="H160" s="70"/>
      <c r="I160" s="21">
        <f ca="1">IFERROR(__xludf.DUMMYFUNCTION("""COMPUTED_VALUE"""),1600000)</f>
        <v>1600000</v>
      </c>
      <c r="J160" s="28"/>
      <c r="K160" s="17">
        <f t="shared" ca="1" si="71"/>
        <v>-1600000</v>
      </c>
    </row>
    <row r="161" spans="1:11" ht="12.75">
      <c r="A161" s="69" t="s">
        <v>1</v>
      </c>
      <c r="B161" s="70"/>
      <c r="C161" s="19">
        <f t="shared" ref="C161:E161" ca="1" si="72">SUM(C149:C157)</f>
        <v>850516655</v>
      </c>
      <c r="D161" s="19">
        <f t="shared" si="72"/>
        <v>0</v>
      </c>
      <c r="E161" s="20">
        <f t="shared" ca="1" si="72"/>
        <v>-850516655</v>
      </c>
      <c r="F161" s="69" t="s">
        <v>1</v>
      </c>
      <c r="G161" s="72"/>
      <c r="H161" s="70"/>
      <c r="I161" s="19">
        <f t="shared" ref="I161:K161" ca="1" si="73">SUM(I152:I160)</f>
        <v>850516655</v>
      </c>
      <c r="J161" s="19">
        <f t="shared" si="73"/>
        <v>0</v>
      </c>
      <c r="K161" s="20">
        <f t="shared" ca="1" si="73"/>
        <v>-850516655</v>
      </c>
    </row>
    <row r="162" spans="1:11">
      <c r="A162" s="7"/>
      <c r="B162" s="7"/>
      <c r="C162" s="8"/>
      <c r="D162" s="8"/>
      <c r="E162" s="9"/>
      <c r="F162" s="7"/>
      <c r="G162" s="7"/>
      <c r="H162" s="8"/>
      <c r="I162" s="8"/>
      <c r="J162" s="8"/>
      <c r="K162" s="9"/>
    </row>
    <row r="163" spans="1:11" ht="26.25">
      <c r="A163" s="57" t="s">
        <v>40</v>
      </c>
      <c r="B163" s="73"/>
      <c r="C163" s="73"/>
      <c r="D163" s="73"/>
      <c r="E163" s="73"/>
      <c r="F163" s="73"/>
      <c r="G163" s="73"/>
      <c r="H163" s="73"/>
      <c r="I163" s="73"/>
      <c r="J163" s="73"/>
      <c r="K163" s="73"/>
    </row>
    <row r="164" spans="1:11" ht="12.75">
      <c r="A164" s="2"/>
      <c r="B164" s="2"/>
      <c r="C164" s="2"/>
      <c r="D164" s="2"/>
      <c r="E164" s="1"/>
      <c r="F164" s="2"/>
      <c r="G164" s="2"/>
      <c r="H164" s="2"/>
      <c r="I164" s="2"/>
      <c r="J164" s="2"/>
      <c r="K164" s="12" t="s">
        <v>0</v>
      </c>
    </row>
    <row r="165" spans="1:11" ht="12.75">
      <c r="A165" s="74" t="s">
        <v>2</v>
      </c>
      <c r="B165" s="75"/>
      <c r="C165" s="78" t="s">
        <v>3</v>
      </c>
      <c r="D165" s="70"/>
      <c r="E165" s="79" t="s">
        <v>4</v>
      </c>
      <c r="F165" s="80" t="s">
        <v>5</v>
      </c>
      <c r="G165" s="81"/>
      <c r="H165" s="75"/>
      <c r="I165" s="83" t="s">
        <v>6</v>
      </c>
      <c r="J165" s="70"/>
      <c r="K165" s="84" t="s">
        <v>4</v>
      </c>
    </row>
    <row r="166" spans="1:11" ht="12.75">
      <c r="A166" s="76"/>
      <c r="B166" s="77"/>
      <c r="C166" s="5" t="s">
        <v>7</v>
      </c>
      <c r="D166" s="5" t="s">
        <v>8</v>
      </c>
      <c r="E166" s="77"/>
      <c r="F166" s="76"/>
      <c r="G166" s="82"/>
      <c r="H166" s="77"/>
      <c r="I166" s="5" t="s">
        <v>7</v>
      </c>
      <c r="J166" s="5" t="s">
        <v>8</v>
      </c>
      <c r="K166" s="77"/>
    </row>
    <row r="167" spans="1:11" ht="12.75">
      <c r="A167" s="14">
        <v>1</v>
      </c>
      <c r="B167" s="15" t="s">
        <v>21</v>
      </c>
      <c r="C167" s="6">
        <f ca="1">IFERROR(__xludf.DUMMYFUNCTION("importrange(""1lIwW56pLEGQ4aZILWf000qhdMveyNgnt1Q5R1h87EIs"",""'어린이집'!D167:D178"")"),162072000)</f>
        <v>162072000</v>
      </c>
      <c r="D167" s="21"/>
      <c r="E167" s="17">
        <f t="shared" ref="E167:E176" ca="1" si="74">D167-C167</f>
        <v>-162072000</v>
      </c>
      <c r="F167" s="66">
        <v>1</v>
      </c>
      <c r="G167" s="66" t="s">
        <v>11</v>
      </c>
      <c r="H167" s="14" t="s">
        <v>9</v>
      </c>
      <c r="I167" s="6">
        <f ca="1">IFERROR(__xludf.DUMMYFUNCTION("importrange(""1lIwW56pLEGQ4aZILWf000qhdMveyNgnt1Q5R1h87EIs"",""'어린이집'!J167:J178"")"),387190581)</f>
        <v>387190581</v>
      </c>
      <c r="J167" s="27"/>
      <c r="K167" s="18">
        <f t="shared" ref="K167:K169" ca="1" si="75">J167-I167</f>
        <v>-387190581</v>
      </c>
    </row>
    <row r="168" spans="1:11" ht="12.75">
      <c r="A168" s="14">
        <v>2</v>
      </c>
      <c r="B168" s="23" t="s">
        <v>22</v>
      </c>
      <c r="C168" s="4">
        <f ca="1">IFERROR(__xludf.DUMMYFUNCTION("""COMPUTED_VALUE"""),16776000)</f>
        <v>16776000</v>
      </c>
      <c r="D168" s="32"/>
      <c r="E168" s="17">
        <f t="shared" ca="1" si="74"/>
        <v>-16776000</v>
      </c>
      <c r="F168" s="67"/>
      <c r="G168" s="67"/>
      <c r="H168" s="14" t="s">
        <v>10</v>
      </c>
      <c r="I168" s="21">
        <f ca="1">IFERROR(__xludf.DUMMYFUNCTION("""COMPUTED_VALUE"""),6500000)</f>
        <v>6500000</v>
      </c>
      <c r="J168" s="28"/>
      <c r="K168" s="18">
        <f t="shared" ca="1" si="75"/>
        <v>-6500000</v>
      </c>
    </row>
    <row r="169" spans="1:11" ht="12.75">
      <c r="A169" s="14">
        <v>3</v>
      </c>
      <c r="B169" s="23" t="s">
        <v>23</v>
      </c>
      <c r="C169" s="21">
        <f ca="1">IFERROR(__xludf.DUMMYFUNCTION("""COMPUTED_VALUE"""),324711594)</f>
        <v>324711594</v>
      </c>
      <c r="D169" s="21"/>
      <c r="E169" s="17">
        <f t="shared" ca="1" si="74"/>
        <v>-324711594</v>
      </c>
      <c r="F169" s="67"/>
      <c r="G169" s="68"/>
      <c r="H169" s="14" t="s">
        <v>11</v>
      </c>
      <c r="I169" s="21">
        <f ca="1">IFERROR(__xludf.DUMMYFUNCTION("""COMPUTED_VALUE"""),36367200)</f>
        <v>36367200</v>
      </c>
      <c r="J169" s="28"/>
      <c r="K169" s="18">
        <f t="shared" ca="1" si="75"/>
        <v>-36367200</v>
      </c>
    </row>
    <row r="170" spans="1:11" ht="12.75">
      <c r="A170" s="14">
        <v>4</v>
      </c>
      <c r="B170" s="15" t="s">
        <v>13</v>
      </c>
      <c r="C170" s="21">
        <f ca="1">IFERROR(__xludf.DUMMYFUNCTION("""COMPUTED_VALUE"""),5600000)</f>
        <v>5600000</v>
      </c>
      <c r="D170" s="21"/>
      <c r="E170" s="17">
        <f t="shared" ca="1" si="74"/>
        <v>-5600000</v>
      </c>
      <c r="F170" s="68"/>
      <c r="G170" s="69" t="s">
        <v>16</v>
      </c>
      <c r="H170" s="70"/>
      <c r="I170" s="24">
        <f ca="1">IFERROR(__xludf.DUMMYFUNCTION("""COMPUTED_VALUE"""),430057781)</f>
        <v>430057781</v>
      </c>
      <c r="J170" s="30">
        <f t="shared" ref="J170:K170" si="76">SUM(J167:J169)</f>
        <v>0</v>
      </c>
      <c r="K170" s="25">
        <f t="shared" ca="1" si="76"/>
        <v>-430057781</v>
      </c>
    </row>
    <row r="171" spans="1:11" ht="12.75">
      <c r="A171" s="14">
        <v>5</v>
      </c>
      <c r="B171" s="15" t="s">
        <v>24</v>
      </c>
      <c r="C171" s="21">
        <f ca="1">IFERROR(__xludf.DUMMYFUNCTION("""COMPUTED_VALUE"""),0)</f>
        <v>0</v>
      </c>
      <c r="D171" s="21"/>
      <c r="E171" s="17">
        <f t="shared" ca="1" si="74"/>
        <v>0</v>
      </c>
      <c r="F171" s="14">
        <v>2</v>
      </c>
      <c r="G171" s="71" t="s">
        <v>25</v>
      </c>
      <c r="H171" s="70"/>
      <c r="I171" s="11">
        <f ca="1">IFERROR(__xludf.DUMMYFUNCTION("""COMPUTED_VALUE"""),51840000)</f>
        <v>51840000</v>
      </c>
      <c r="J171" s="27"/>
      <c r="K171" s="18">
        <f t="shared" ref="K171:K178" ca="1" si="77">J171-I171</f>
        <v>-51840000</v>
      </c>
    </row>
    <row r="172" spans="1:11" ht="12.75">
      <c r="A172" s="14">
        <v>6</v>
      </c>
      <c r="B172" s="15" t="s">
        <v>26</v>
      </c>
      <c r="C172" s="21">
        <f ca="1">IFERROR(__xludf.DUMMYFUNCTION("""COMPUTED_VALUE"""),0)</f>
        <v>0</v>
      </c>
      <c r="D172" s="21"/>
      <c r="E172" s="17">
        <f t="shared" ca="1" si="74"/>
        <v>0</v>
      </c>
      <c r="F172" s="14">
        <v>3</v>
      </c>
      <c r="G172" s="71" t="s">
        <v>27</v>
      </c>
      <c r="H172" s="70"/>
      <c r="I172" s="21">
        <f ca="1">IFERROR(__xludf.DUMMYFUNCTION("""COMPUTED_VALUE"""),16776000)</f>
        <v>16776000</v>
      </c>
      <c r="J172" s="28"/>
      <c r="K172" s="18">
        <f t="shared" ca="1" si="77"/>
        <v>-16776000</v>
      </c>
    </row>
    <row r="173" spans="1:11" ht="12.75">
      <c r="A173" s="14">
        <v>7</v>
      </c>
      <c r="B173" s="15" t="s">
        <v>15</v>
      </c>
      <c r="C173" s="21">
        <f ca="1">IFERROR(__xludf.DUMMYFUNCTION("""COMPUTED_VALUE"""),0)</f>
        <v>0</v>
      </c>
      <c r="D173" s="21"/>
      <c r="E173" s="17">
        <f t="shared" ca="1" si="74"/>
        <v>0</v>
      </c>
      <c r="F173" s="14">
        <v>4</v>
      </c>
      <c r="G173" s="71" t="s">
        <v>26</v>
      </c>
      <c r="H173" s="70"/>
      <c r="I173" s="21">
        <f ca="1">IFERROR(__xludf.DUMMYFUNCTION("""COMPUTED_VALUE"""),0)</f>
        <v>0</v>
      </c>
      <c r="J173" s="28"/>
      <c r="K173" s="17">
        <f t="shared" ca="1" si="77"/>
        <v>0</v>
      </c>
    </row>
    <row r="174" spans="1:11" ht="12.75">
      <c r="A174" s="14">
        <v>8</v>
      </c>
      <c r="B174" s="15" t="s">
        <v>17</v>
      </c>
      <c r="C174" s="21">
        <f ca="1">IFERROR(__xludf.DUMMYFUNCTION("""COMPUTED_VALUE"""),7420000)</f>
        <v>7420000</v>
      </c>
      <c r="D174" s="21"/>
      <c r="E174" s="17">
        <f t="shared" ca="1" si="74"/>
        <v>-7420000</v>
      </c>
      <c r="F174" s="14">
        <v>5</v>
      </c>
      <c r="G174" s="71" t="s">
        <v>28</v>
      </c>
      <c r="H174" s="70"/>
      <c r="I174" s="21">
        <f ca="1">IFERROR(__xludf.DUMMYFUNCTION("""COMPUTED_VALUE"""),0)</f>
        <v>0</v>
      </c>
      <c r="J174" s="28"/>
      <c r="K174" s="17">
        <f t="shared" ca="1" si="77"/>
        <v>0</v>
      </c>
    </row>
    <row r="175" spans="1:11" ht="12.75">
      <c r="A175" s="14">
        <v>9</v>
      </c>
      <c r="B175" s="15" t="s">
        <v>29</v>
      </c>
      <c r="C175" s="21">
        <f ca="1">IFERROR(__xludf.DUMMYFUNCTION("""COMPUTED_VALUE"""),10000000)</f>
        <v>10000000</v>
      </c>
      <c r="D175" s="21"/>
      <c r="E175" s="17">
        <f t="shared" ca="1" si="74"/>
        <v>-10000000</v>
      </c>
      <c r="F175" s="14">
        <v>6</v>
      </c>
      <c r="G175" s="71" t="s">
        <v>12</v>
      </c>
      <c r="H175" s="70"/>
      <c r="I175" s="21">
        <f ca="1">IFERROR(__xludf.DUMMYFUNCTION("""COMPUTED_VALUE"""),9500000)</f>
        <v>9500000</v>
      </c>
      <c r="J175" s="28"/>
      <c r="K175" s="17">
        <f t="shared" ca="1" si="77"/>
        <v>-9500000</v>
      </c>
    </row>
    <row r="176" spans="1:11" ht="12.75">
      <c r="A176" s="71"/>
      <c r="B176" s="70"/>
      <c r="C176" s="16"/>
      <c r="D176" s="16"/>
      <c r="E176" s="17">
        <f t="shared" si="74"/>
        <v>0</v>
      </c>
      <c r="F176" s="14">
        <v>7</v>
      </c>
      <c r="G176" s="71" t="s">
        <v>18</v>
      </c>
      <c r="H176" s="70"/>
      <c r="I176" s="21">
        <f ca="1">IFERROR(__xludf.DUMMYFUNCTION("""COMPUTED_VALUE"""),0)</f>
        <v>0</v>
      </c>
      <c r="J176" s="28"/>
      <c r="K176" s="17">
        <f t="shared" ca="1" si="77"/>
        <v>0</v>
      </c>
    </row>
    <row r="177" spans="1:11" ht="12.75">
      <c r="A177" s="85"/>
      <c r="B177" s="70"/>
      <c r="C177" s="16"/>
      <c r="D177" s="16"/>
      <c r="E177" s="26"/>
      <c r="F177" s="14">
        <v>8</v>
      </c>
      <c r="G177" s="71" t="s">
        <v>14</v>
      </c>
      <c r="H177" s="70"/>
      <c r="I177" s="21">
        <f ca="1">IFERROR(__xludf.DUMMYFUNCTION("""COMPUTED_VALUE"""),6600000)</f>
        <v>6600000</v>
      </c>
      <c r="J177" s="28"/>
      <c r="K177" s="17">
        <f t="shared" ca="1" si="77"/>
        <v>-6600000</v>
      </c>
    </row>
    <row r="178" spans="1:11" ht="12.75">
      <c r="A178" s="85"/>
      <c r="B178" s="70"/>
      <c r="C178" s="16"/>
      <c r="D178" s="16"/>
      <c r="E178" s="26"/>
      <c r="F178" s="14">
        <v>9</v>
      </c>
      <c r="G178" s="71" t="s">
        <v>19</v>
      </c>
      <c r="H178" s="70"/>
      <c r="I178" s="21">
        <f ca="1">IFERROR(__xludf.DUMMYFUNCTION("""COMPUTED_VALUE"""),11805813)</f>
        <v>11805813</v>
      </c>
      <c r="J178" s="28"/>
      <c r="K178" s="17">
        <f t="shared" ca="1" si="77"/>
        <v>-11805813</v>
      </c>
    </row>
    <row r="179" spans="1:11" ht="12.75">
      <c r="A179" s="69" t="s">
        <v>1</v>
      </c>
      <c r="B179" s="70"/>
      <c r="C179" s="19">
        <f t="shared" ref="C179:E179" ca="1" si="78">SUM(C167:C175)</f>
        <v>526579594</v>
      </c>
      <c r="D179" s="19">
        <f t="shared" si="78"/>
        <v>0</v>
      </c>
      <c r="E179" s="20">
        <f t="shared" ca="1" si="78"/>
        <v>-526579594</v>
      </c>
      <c r="F179" s="69" t="s">
        <v>1</v>
      </c>
      <c r="G179" s="72"/>
      <c r="H179" s="70"/>
      <c r="I179" s="19">
        <f t="shared" ref="I179:K179" ca="1" si="79">SUM(I170:I178)</f>
        <v>526579594</v>
      </c>
      <c r="J179" s="19">
        <f t="shared" si="79"/>
        <v>0</v>
      </c>
      <c r="K179" s="20">
        <f t="shared" ca="1" si="79"/>
        <v>-526579594</v>
      </c>
    </row>
  </sheetData>
  <mergeCells count="231">
    <mergeCell ref="G32:H32"/>
    <mergeCell ref="G33:H33"/>
    <mergeCell ref="G34:H34"/>
    <mergeCell ref="F35:H35"/>
    <mergeCell ref="A37:K37"/>
    <mergeCell ref="A35:B35"/>
    <mergeCell ref="A39:B40"/>
    <mergeCell ref="C39:D39"/>
    <mergeCell ref="E39:E40"/>
    <mergeCell ref="F39:H40"/>
    <mergeCell ref="I39:J39"/>
    <mergeCell ref="K39:K40"/>
    <mergeCell ref="A32:B32"/>
    <mergeCell ref="A33:B33"/>
    <mergeCell ref="A34:B34"/>
    <mergeCell ref="A1:K1"/>
    <mergeCell ref="A3:B4"/>
    <mergeCell ref="C3:D3"/>
    <mergeCell ref="E3:E4"/>
    <mergeCell ref="F3:H4"/>
    <mergeCell ref="I3:J3"/>
    <mergeCell ref="K3:K4"/>
    <mergeCell ref="F5:F8"/>
    <mergeCell ref="G5:G7"/>
    <mergeCell ref="G8:H8"/>
    <mergeCell ref="G9:H9"/>
    <mergeCell ref="G10:H10"/>
    <mergeCell ref="G11:H11"/>
    <mergeCell ref="G12:H12"/>
    <mergeCell ref="G13:H13"/>
    <mergeCell ref="A14:B14"/>
    <mergeCell ref="G14:H14"/>
    <mergeCell ref="A15:B15"/>
    <mergeCell ref="G15:H15"/>
    <mergeCell ref="A16:B16"/>
    <mergeCell ref="A19:K19"/>
    <mergeCell ref="G16:H16"/>
    <mergeCell ref="F17:H17"/>
    <mergeCell ref="F21:H22"/>
    <mergeCell ref="I21:J21"/>
    <mergeCell ref="K21:K22"/>
    <mergeCell ref="G23:H23"/>
    <mergeCell ref="F24:F25"/>
    <mergeCell ref="G24:G25"/>
    <mergeCell ref="G26:H26"/>
    <mergeCell ref="G27:H27"/>
    <mergeCell ref="G28:H28"/>
    <mergeCell ref="G29:H29"/>
    <mergeCell ref="G30:H30"/>
    <mergeCell ref="G31:H31"/>
    <mergeCell ref="A17:B17"/>
    <mergeCell ref="A21:B22"/>
    <mergeCell ref="C21:D21"/>
    <mergeCell ref="E21:E22"/>
    <mergeCell ref="F41:F44"/>
    <mergeCell ref="G41:G43"/>
    <mergeCell ref="G44:H44"/>
    <mergeCell ref="G45:H45"/>
    <mergeCell ref="G46:H46"/>
    <mergeCell ref="G47:H47"/>
    <mergeCell ref="G48:H48"/>
    <mergeCell ref="A53:B53"/>
    <mergeCell ref="A57:B58"/>
    <mergeCell ref="C57:D57"/>
    <mergeCell ref="E57:E58"/>
    <mergeCell ref="G49:H49"/>
    <mergeCell ref="A50:B50"/>
    <mergeCell ref="G50:H50"/>
    <mergeCell ref="A51:B51"/>
    <mergeCell ref="G51:H51"/>
    <mergeCell ref="A52:B52"/>
    <mergeCell ref="A55:K55"/>
    <mergeCell ref="G52:H52"/>
    <mergeCell ref="F53:H53"/>
    <mergeCell ref="F57:H58"/>
    <mergeCell ref="I57:J57"/>
    <mergeCell ref="K57:K58"/>
    <mergeCell ref="F59:F62"/>
    <mergeCell ref="G59:G61"/>
    <mergeCell ref="G69:H69"/>
    <mergeCell ref="G70:H70"/>
    <mergeCell ref="F71:H71"/>
    <mergeCell ref="A73:K73"/>
    <mergeCell ref="G62:H62"/>
    <mergeCell ref="G63:H63"/>
    <mergeCell ref="G64:H64"/>
    <mergeCell ref="G65:H65"/>
    <mergeCell ref="G66:H66"/>
    <mergeCell ref="G67:H67"/>
    <mergeCell ref="G68:H68"/>
    <mergeCell ref="A68:B68"/>
    <mergeCell ref="A69:B69"/>
    <mergeCell ref="A70:B70"/>
    <mergeCell ref="A71:B71"/>
    <mergeCell ref="A75:B76"/>
    <mergeCell ref="C75:D75"/>
    <mergeCell ref="E75:E76"/>
    <mergeCell ref="F75:H76"/>
    <mergeCell ref="I75:J75"/>
    <mergeCell ref="K75:K76"/>
    <mergeCell ref="F77:F80"/>
    <mergeCell ref="G77:G79"/>
    <mergeCell ref="G80:H80"/>
    <mergeCell ref="G81:H81"/>
    <mergeCell ref="G88:H88"/>
    <mergeCell ref="F89:H89"/>
    <mergeCell ref="A91:K91"/>
    <mergeCell ref="G82:H82"/>
    <mergeCell ref="G83:H83"/>
    <mergeCell ref="G84:H84"/>
    <mergeCell ref="G85:H85"/>
    <mergeCell ref="A86:B86"/>
    <mergeCell ref="G86:H86"/>
    <mergeCell ref="G87:H87"/>
    <mergeCell ref="A87:B87"/>
    <mergeCell ref="A88:B88"/>
    <mergeCell ref="A89:B89"/>
    <mergeCell ref="A93:B94"/>
    <mergeCell ref="C93:D93"/>
    <mergeCell ref="E93:E94"/>
    <mergeCell ref="F93:H94"/>
    <mergeCell ref="I93:J93"/>
    <mergeCell ref="K93:K94"/>
    <mergeCell ref="F95:F98"/>
    <mergeCell ref="G95:G97"/>
    <mergeCell ref="G98:H98"/>
    <mergeCell ref="G99:H99"/>
    <mergeCell ref="G100:H100"/>
    <mergeCell ref="G105:H105"/>
    <mergeCell ref="G106:H106"/>
    <mergeCell ref="G101:H101"/>
    <mergeCell ref="G102:H102"/>
    <mergeCell ref="G103:H103"/>
    <mergeCell ref="A104:B104"/>
    <mergeCell ref="G104:H104"/>
    <mergeCell ref="A105:B105"/>
    <mergeCell ref="A106:B106"/>
    <mergeCell ref="A107:B107"/>
    <mergeCell ref="F107:H107"/>
    <mergeCell ref="A109:K109"/>
    <mergeCell ref="A111:B112"/>
    <mergeCell ref="C111:D111"/>
    <mergeCell ref="E111:E112"/>
    <mergeCell ref="F111:H112"/>
    <mergeCell ref="I111:J111"/>
    <mergeCell ref="K111:K112"/>
    <mergeCell ref="F113:F116"/>
    <mergeCell ref="G113:G115"/>
    <mergeCell ref="G116:H116"/>
    <mergeCell ref="G117:H117"/>
    <mergeCell ref="G118:H118"/>
    <mergeCell ref="G123:H123"/>
    <mergeCell ref="G124:H124"/>
    <mergeCell ref="G119:H119"/>
    <mergeCell ref="G120:H120"/>
    <mergeCell ref="G121:H121"/>
    <mergeCell ref="A122:B122"/>
    <mergeCell ref="G122:H122"/>
    <mergeCell ref="A123:B123"/>
    <mergeCell ref="A124:B124"/>
    <mergeCell ref="A125:B125"/>
    <mergeCell ref="F125:H125"/>
    <mergeCell ref="A127:K127"/>
    <mergeCell ref="A129:B130"/>
    <mergeCell ref="C129:D129"/>
    <mergeCell ref="E129:E130"/>
    <mergeCell ref="F129:H130"/>
    <mergeCell ref="I129:J129"/>
    <mergeCell ref="K129:K130"/>
    <mergeCell ref="F131:F134"/>
    <mergeCell ref="G131:G133"/>
    <mergeCell ref="G134:H134"/>
    <mergeCell ref="G135:H135"/>
    <mergeCell ref="G136:H136"/>
    <mergeCell ref="G141:H141"/>
    <mergeCell ref="G142:H142"/>
    <mergeCell ref="G137:H137"/>
    <mergeCell ref="G138:H138"/>
    <mergeCell ref="G139:H139"/>
    <mergeCell ref="A140:B140"/>
    <mergeCell ref="G140:H140"/>
    <mergeCell ref="A141:B141"/>
    <mergeCell ref="A142:B142"/>
    <mergeCell ref="G177:H177"/>
    <mergeCell ref="G178:H178"/>
    <mergeCell ref="G173:H173"/>
    <mergeCell ref="G174:H174"/>
    <mergeCell ref="G175:H175"/>
    <mergeCell ref="A176:B176"/>
    <mergeCell ref="G176:H176"/>
    <mergeCell ref="A177:B177"/>
    <mergeCell ref="A178:B178"/>
    <mergeCell ref="A143:B143"/>
    <mergeCell ref="F143:H143"/>
    <mergeCell ref="A145:K145"/>
    <mergeCell ref="A147:B148"/>
    <mergeCell ref="C147:D147"/>
    <mergeCell ref="E147:E148"/>
    <mergeCell ref="F147:H148"/>
    <mergeCell ref="I147:J147"/>
    <mergeCell ref="K147:K148"/>
    <mergeCell ref="F149:F152"/>
    <mergeCell ref="G149:G151"/>
    <mergeCell ref="G152:H152"/>
    <mergeCell ref="G153:H153"/>
    <mergeCell ref="G154:H154"/>
    <mergeCell ref="G159:H159"/>
    <mergeCell ref="G160:H160"/>
    <mergeCell ref="G155:H155"/>
    <mergeCell ref="G156:H156"/>
    <mergeCell ref="G157:H157"/>
    <mergeCell ref="A158:B158"/>
    <mergeCell ref="G158:H158"/>
    <mergeCell ref="A159:B159"/>
    <mergeCell ref="A160:B160"/>
    <mergeCell ref="F167:F170"/>
    <mergeCell ref="G167:G169"/>
    <mergeCell ref="G170:H170"/>
    <mergeCell ref="G171:H171"/>
    <mergeCell ref="G172:H172"/>
    <mergeCell ref="A179:B179"/>
    <mergeCell ref="F179:H179"/>
    <mergeCell ref="A161:B161"/>
    <mergeCell ref="F161:H161"/>
    <mergeCell ref="A163:K163"/>
    <mergeCell ref="A165:B166"/>
    <mergeCell ref="C165:D165"/>
    <mergeCell ref="E165:E166"/>
    <mergeCell ref="F165:H166"/>
    <mergeCell ref="I165:J165"/>
    <mergeCell ref="K165:K166"/>
  </mergeCells>
  <phoneticPr fontId="11" type="noConversion"/>
  <printOptions horizontalCentered="1" gridLines="1"/>
  <pageMargins left="0.25" right="0.25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4분기</vt:lpstr>
      <vt:lpstr>어린이집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2024-05-23T07:09:09Z</dcterms:created>
  <dcterms:modified xsi:type="dcterms:W3CDTF">2025-01-06T08:26:35Z</dcterms:modified>
</cp:coreProperties>
</file>